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ropbox\SAUVEGARDE\BAAN LILAWADEE TRAVEL\INITIALISATION TARIFS GRAND PUBLIC\"/>
    </mc:Choice>
  </mc:AlternateContent>
  <workbookProtection workbookPassword="C67A" lockStructure="1"/>
  <bookViews>
    <workbookView xWindow="0" yWindow="0" windowWidth="20490" windowHeight="7455"/>
  </bookViews>
  <sheets>
    <sheet name="Feuil3" sheetId="3" r:id="rId1"/>
    <sheet name="10j" sheetId="4" state="hidden" r:id="rId2"/>
    <sheet name="13j" sheetId="6" state="hidden" r:id="rId3"/>
    <sheet name="16j" sheetId="7" state="hidden" r:id="rId4"/>
    <sheet name="23j" sheetId="8" state="hidden" r:id="rId5"/>
    <sheet name="Feuil2" sheetId="5" state="hidden" r:id="rId6"/>
  </sheets>
  <definedNames>
    <definedName name="majorrates" localSheetId="5">Feuil2!$AC$2:$AK$91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M12" i="5" l="1"/>
  <c r="C1" i="8"/>
  <c r="E125" i="8" s="1"/>
  <c r="C1" i="6"/>
  <c r="E64" i="6" s="1"/>
  <c r="E122" i="8"/>
  <c r="D117" i="8"/>
  <c r="E131" i="8"/>
  <c r="D2" i="8"/>
  <c r="E72" i="7"/>
  <c r="D67" i="7"/>
  <c r="E81" i="7"/>
  <c r="I74" i="7"/>
  <c r="D2" i="7"/>
  <c r="E61" i="6"/>
  <c r="D56" i="6"/>
  <c r="E70" i="6"/>
  <c r="I63" i="6"/>
  <c r="D2" i="6"/>
  <c r="E35" i="4"/>
  <c r="D30" i="4"/>
  <c r="E44" i="4"/>
  <c r="I37" i="4"/>
  <c r="D2" i="4"/>
  <c r="L15" i="5"/>
  <c r="M15" i="5"/>
  <c r="L13" i="5"/>
  <c r="M13" i="5"/>
  <c r="L11" i="5"/>
  <c r="M11" i="5"/>
  <c r="L10" i="5"/>
  <c r="M10" i="5"/>
  <c r="M9" i="5"/>
  <c r="L9" i="5"/>
  <c r="E66" i="6" l="1"/>
  <c r="D135" i="8"/>
  <c r="I20" i="3" s="1"/>
  <c r="D125" i="8"/>
  <c r="E127" i="8"/>
  <c r="E128" i="8" s="1"/>
  <c r="D74" i="6"/>
  <c r="I18" i="3" s="1"/>
  <c r="D64" i="6"/>
  <c r="C1" i="7"/>
  <c r="C1" i="4"/>
  <c r="E75" i="7" l="1"/>
  <c r="E77" i="7"/>
  <c r="D85" i="7"/>
  <c r="I19" i="3" s="1"/>
  <c r="D75" i="7"/>
  <c r="D144" i="8"/>
  <c r="D142" i="8"/>
  <c r="D140" i="8"/>
  <c r="D138" i="8"/>
  <c r="E132" i="8"/>
  <c r="E38" i="4"/>
  <c r="E40" i="4"/>
  <c r="D38" i="4"/>
  <c r="D48" i="4"/>
  <c r="I17" i="3" s="1"/>
  <c r="J65" i="6"/>
  <c r="J66" i="6" s="1"/>
  <c r="F18" i="3" s="1"/>
  <c r="L65" i="6"/>
  <c r="L66" i="6" s="1"/>
  <c r="H18" i="3" s="1"/>
  <c r="K65" i="6"/>
  <c r="K66" i="6" s="1"/>
  <c r="G18" i="3" s="1"/>
  <c r="G64" i="6"/>
  <c r="G66" i="6" s="1"/>
  <c r="G68" i="6" s="1"/>
  <c r="G69" i="6" s="1"/>
  <c r="I65" i="6" s="1"/>
  <c r="I66" i="6" s="1"/>
  <c r="E18" i="3" s="1"/>
  <c r="D75" i="6"/>
  <c r="E67" i="6"/>
  <c r="K126" i="8"/>
  <c r="K127" i="8" s="1"/>
  <c r="G20" i="3" s="1"/>
  <c r="D136" i="8"/>
  <c r="J126" i="8"/>
  <c r="J127" i="8" s="1"/>
  <c r="F20" i="3" s="1"/>
  <c r="L126" i="8"/>
  <c r="L127" i="8" s="1"/>
  <c r="H20" i="3" s="1"/>
  <c r="G125" i="8"/>
  <c r="G127" i="8" s="1"/>
  <c r="G129" i="8" s="1"/>
  <c r="G130" i="8" s="1"/>
  <c r="I126" i="8" s="1"/>
  <c r="I127" i="8" s="1"/>
  <c r="E20" i="3" s="1"/>
  <c r="E41" i="4" l="1"/>
  <c r="D83" i="6"/>
  <c r="D81" i="6"/>
  <c r="D79" i="6"/>
  <c r="D77" i="6"/>
  <c r="E71" i="6"/>
  <c r="J39" i="4"/>
  <c r="F17" i="3" s="1"/>
  <c r="D49" i="4"/>
  <c r="K39" i="4"/>
  <c r="G17" i="3" s="1"/>
  <c r="L39" i="4"/>
  <c r="H17" i="3" s="1"/>
  <c r="G38" i="4"/>
  <c r="G40" i="4" s="1"/>
  <c r="G42" i="4" s="1"/>
  <c r="G43" i="4" s="1"/>
  <c r="I39" i="4" s="1"/>
  <c r="E17" i="3" s="1"/>
  <c r="D139" i="8"/>
  <c r="E139" i="8" s="1"/>
  <c r="E138" i="8"/>
  <c r="D143" i="8"/>
  <c r="E143" i="8" s="1"/>
  <c r="E142" i="8"/>
  <c r="K76" i="7"/>
  <c r="K77" i="7" s="1"/>
  <c r="G19" i="3" s="1"/>
  <c r="D86" i="7"/>
  <c r="J76" i="7"/>
  <c r="J77" i="7" s="1"/>
  <c r="F19" i="3" s="1"/>
  <c r="L76" i="7"/>
  <c r="L77" i="7" s="1"/>
  <c r="H19" i="3" s="1"/>
  <c r="E78" i="7"/>
  <c r="D57" i="4"/>
  <c r="D55" i="4"/>
  <c r="D53" i="4"/>
  <c r="D51" i="4"/>
  <c r="E45" i="4"/>
  <c r="D133" i="8"/>
  <c r="D134" i="8"/>
  <c r="D141" i="8"/>
  <c r="E141" i="8" s="1"/>
  <c r="E140" i="8"/>
  <c r="D145" i="8"/>
  <c r="E145" i="8" s="1"/>
  <c r="E144" i="8"/>
  <c r="G75" i="7"/>
  <c r="G77" i="7" s="1"/>
  <c r="G79" i="7" s="1"/>
  <c r="G80" i="7" s="1"/>
  <c r="I76" i="7" s="1"/>
  <c r="I77" i="7" s="1"/>
  <c r="E19" i="3" s="1"/>
  <c r="D47" i="4" l="1"/>
  <c r="D46" i="4"/>
  <c r="D54" i="4"/>
  <c r="E54" i="4" s="1"/>
  <c r="E53" i="4"/>
  <c r="D58" i="4"/>
  <c r="E58" i="4" s="1"/>
  <c r="E57" i="4"/>
  <c r="D78" i="6"/>
  <c r="E78" i="6" s="1"/>
  <c r="E77" i="6"/>
  <c r="D82" i="6"/>
  <c r="E82" i="6" s="1"/>
  <c r="E81" i="6"/>
  <c r="D52" i="4"/>
  <c r="E52" i="4" s="1"/>
  <c r="E51" i="4"/>
  <c r="D56" i="4"/>
  <c r="E56" i="4" s="1"/>
  <c r="E55" i="4"/>
  <c r="D94" i="7"/>
  <c r="D92" i="7"/>
  <c r="D90" i="7"/>
  <c r="D88" i="7"/>
  <c r="E82" i="7"/>
  <c r="D73" i="6"/>
  <c r="D72" i="6"/>
  <c r="D80" i="6"/>
  <c r="E80" i="6" s="1"/>
  <c r="E79" i="6"/>
  <c r="D84" i="6"/>
  <c r="E84" i="6" s="1"/>
  <c r="E83" i="6"/>
  <c r="D83" i="7" l="1"/>
  <c r="D84" i="7"/>
  <c r="D91" i="7"/>
  <c r="E91" i="7" s="1"/>
  <c r="E90" i="7"/>
  <c r="D89" i="7"/>
  <c r="E89" i="7" s="1"/>
  <c r="E88" i="7"/>
  <c r="D93" i="7"/>
  <c r="E93" i="7" s="1"/>
  <c r="E92" i="7"/>
  <c r="D95" i="7"/>
  <c r="E95" i="7" s="1"/>
  <c r="E94" i="7"/>
</calcChain>
</file>

<file path=xl/comments1.xml><?xml version="1.0" encoding="utf-8"?>
<comments xmlns="http://schemas.openxmlformats.org/spreadsheetml/2006/main">
  <authors>
    <author>Gérard BIWAND</author>
  </authors>
  <commentList>
    <comment ref="E42" authorId="0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</commentList>
</comments>
</file>

<file path=xl/comments2.xml><?xml version="1.0" encoding="utf-8"?>
<comments xmlns="http://schemas.openxmlformats.org/spreadsheetml/2006/main">
  <authors>
    <author>Gérard BIWAND</author>
  </authors>
  <commentList>
    <comment ref="E68" authorId="0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</commentList>
</comments>
</file>

<file path=xl/comments3.xml><?xml version="1.0" encoding="utf-8"?>
<comments xmlns="http://schemas.openxmlformats.org/spreadsheetml/2006/main">
  <authors>
    <author>Gérard BIWAND</author>
  </authors>
  <commentList>
    <comment ref="E79" authorId="0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</commentList>
</comments>
</file>

<file path=xl/comments4.xml><?xml version="1.0" encoding="utf-8"?>
<comments xmlns="http://schemas.openxmlformats.org/spreadsheetml/2006/main">
  <authors>
    <author>Gérard BIWAND</author>
  </authors>
  <commentList>
    <comment ref="E87" authorId="0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E129" authorId="0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</commentList>
</comments>
</file>

<file path=xl/connections.xml><?xml version="1.0" encoding="utf-8"?>
<connections xmlns="http://schemas.openxmlformats.org/spreadsheetml/2006/main">
  <connection id="1" interval="30" name="Connexion" type="4" refreshedVersion="5" background="1" refreshOnLoad="1" saveData="1">
    <webPr sourceData="1" parsePre="1" consecutive="1" xl2000="1" url="http://fr.exchange-rates.org/majorrates.aspx"/>
  </connection>
</connections>
</file>

<file path=xl/sharedStrings.xml><?xml version="1.0" encoding="utf-8"?>
<sst xmlns="http://schemas.openxmlformats.org/spreadsheetml/2006/main" count="628" uniqueCount="309">
  <si>
    <t>PRIX HORS VOL PARIS-BANGKOK</t>
  </si>
  <si>
    <t>taux frais paypal</t>
  </si>
  <si>
    <t>Prix / pers.</t>
  </si>
  <si>
    <t>Sup ch. Ind.</t>
  </si>
  <si>
    <t>2 Pers.</t>
  </si>
  <si>
    <t xml:space="preserve">CIRCUIT 10 JOURS </t>
  </si>
  <si>
    <t xml:space="preserve">CIRCUIT 13 JOURS </t>
  </si>
  <si>
    <t xml:space="preserve">CIRCUIT 16 JOURS </t>
  </si>
  <si>
    <t>REFERENCE</t>
  </si>
  <si>
    <t>CIRCUITS PLONGEE</t>
  </si>
  <si>
    <t>CI10PL</t>
  </si>
  <si>
    <t>CI13PL</t>
  </si>
  <si>
    <t>CI16PL</t>
  </si>
  <si>
    <t>CIRCUIT 23 JOURS</t>
  </si>
  <si>
    <t>CI23PL</t>
  </si>
  <si>
    <t>4 Pers.</t>
  </si>
  <si>
    <t>6 Pers.</t>
  </si>
  <si>
    <t>8 Pers.</t>
  </si>
  <si>
    <t>Nos prix n’incluent pas : les repas et boissons (sauf les repas inclus dans certaines excursions), les dépenses personnelles,</t>
  </si>
  <si>
    <t>le billet d'avion de France en Thaïlande, les frais de formalités (passeport, vaccinations), les pourboires, les assurances personnelles.</t>
  </si>
  <si>
    <t>Paiement: 50% à la réservation et le solde selon un échéancier dépendant du délai entre la réservation et votre arrivée.</t>
  </si>
  <si>
    <t>TARIFS CIRCUITS</t>
  </si>
  <si>
    <t xml:space="preserve">Nos prix incluent tous les transferts et déplacements sur place (vols, taxis, bus…), les entrées de musées, temple etc…, </t>
  </si>
  <si>
    <t xml:space="preserve">les croisières ou activités prévues, les hôtels et petits déjeuners ainsi que l’accompagnement et l’assistance du début à la fin du </t>
  </si>
  <si>
    <t>voyage.</t>
  </si>
  <si>
    <t xml:space="preserve">Il est préférable de vous inscrire le plus tôt possible afin d’être certain que votre place sera réservée et que nous pourrons avoir des </t>
  </si>
  <si>
    <t>places notamment pour les hôtels et les vols intérieurs.</t>
  </si>
  <si>
    <t>*** Le calcul tenant compte de la parité en Euro et Thaï Bahts en temps réel, merci de patienter entre 20 et 30s pour avoir la mise à jour ***</t>
  </si>
  <si>
    <t xml:space="preserve"> </t>
  </si>
  <si>
    <t>Pension complète =</t>
  </si>
  <si>
    <t>Circuit 10J</t>
  </si>
  <si>
    <t>Prix BHT/pers</t>
  </si>
  <si>
    <t>Nos frais</t>
  </si>
  <si>
    <t>Vol Udon à BKK suvarnabhumi AR</t>
  </si>
  <si>
    <t>J1</t>
  </si>
  <si>
    <t>essence aéroport AR</t>
  </si>
  <si>
    <t>orchid resort + dîner</t>
  </si>
  <si>
    <t>Navette ar orchid-aeroport</t>
  </si>
  <si>
    <t>tranfert de l'aéroport à hôtel</t>
  </si>
  <si>
    <t>pan kled villa eco hill</t>
  </si>
  <si>
    <t>J2</t>
  </si>
  <si>
    <t>Départ hôtel à 9h</t>
  </si>
  <si>
    <t>Départ à 8h30 pour Don Suthep + wat Phalat</t>
  </si>
  <si>
    <t>Déjeuner vers Grand Palais</t>
  </si>
  <si>
    <t>dîner alentour hôtel</t>
  </si>
  <si>
    <t>Van à la journée</t>
  </si>
  <si>
    <t xml:space="preserve">Taxi pour hôtel </t>
  </si>
  <si>
    <t>Temple blanc</t>
  </si>
  <si>
    <t>Grand palais l'après midi</t>
  </si>
  <si>
    <t>14h30 klongs</t>
  </si>
  <si>
    <t>visite du pont + musée</t>
  </si>
  <si>
    <t>Wat rong sua ten (temple bleu)</t>
  </si>
  <si>
    <t>Déjeuner ferme orchidées + 50 entrées</t>
  </si>
  <si>
    <t>Wat Pho</t>
  </si>
  <si>
    <t>taxi ar klongs</t>
  </si>
  <si>
    <t>train de la mort 10h45</t>
  </si>
  <si>
    <t>Dîner hôtel</t>
  </si>
  <si>
    <t>Maison noire</t>
  </si>
  <si>
    <t>Wat Arun</t>
  </si>
  <si>
    <t>déjeuner nam tok</t>
  </si>
  <si>
    <t>Départ 8h pour bateau pour Tathon (5h) - arrivée 13h</t>
  </si>
  <si>
    <t>Ticket Klong</t>
  </si>
  <si>
    <t>Riviere kwai jungle raft</t>
  </si>
  <si>
    <t>Déjeuner sur place</t>
  </si>
  <si>
    <t>van à la journée</t>
  </si>
  <si>
    <t>Départ à 13h pour Choui Fong</t>
  </si>
  <si>
    <t>J3</t>
  </si>
  <si>
    <t>Déjeuner plantation</t>
  </si>
  <si>
    <t>Matin : Jim Thompson (par les klong) - entrées (départ 9h)</t>
  </si>
  <si>
    <t>Départ 9h cascades d'erawan (1h30 de route)</t>
  </si>
  <si>
    <t>Arrivée Mae Salong entre 16 et 17h</t>
  </si>
  <si>
    <t>Ensemble des taxis</t>
  </si>
  <si>
    <t>visite de 11h à 14h</t>
  </si>
  <si>
    <t>Déjeuner 14h à 15h</t>
  </si>
  <si>
    <t>taxi pour bateau AR</t>
  </si>
  <si>
    <t>Trajet pour ganesha park +/- 1h - arrivée vers 16h</t>
  </si>
  <si>
    <t>Mida resort kanchanaburi (T&amp;G)</t>
  </si>
  <si>
    <t>Dîner</t>
  </si>
  <si>
    <t>J4</t>
  </si>
  <si>
    <t xml:space="preserve">ganesha park </t>
  </si>
  <si>
    <t>8h30 départ pour Ayutthaya</t>
  </si>
  <si>
    <t>Déjeuner en route</t>
  </si>
  <si>
    <t xml:space="preserve">Visite de Bang Pa In </t>
  </si>
  <si>
    <t>Déjeuner Ayutthaya</t>
  </si>
  <si>
    <t>Déjeuner</t>
  </si>
  <si>
    <t>Akha mud house</t>
  </si>
  <si>
    <t>Dîner à l'hôtel</t>
  </si>
  <si>
    <t>J5</t>
  </si>
  <si>
    <t>Visite du marché à 6h</t>
  </si>
  <si>
    <t>Petit déjeuner vers 8h "en ville"</t>
  </si>
  <si>
    <t>Déjeuner en route (même restaurant qu'avec Florence)</t>
  </si>
  <si>
    <t>Visite des villages la journée</t>
  </si>
  <si>
    <t>Dîner marché de nuit</t>
  </si>
  <si>
    <t>visite des temples l'après-midi</t>
  </si>
  <si>
    <t>J6</t>
  </si>
  <si>
    <t>nuit chez l'habitant</t>
  </si>
  <si>
    <t>entrées des temples</t>
  </si>
  <si>
    <t>Dîner chez l'habitant</t>
  </si>
  <si>
    <t>Dîner sur place</t>
  </si>
  <si>
    <t>Hotel good times resort</t>
  </si>
  <si>
    <t>Départ 7h de l'hôtel pour rejoindre plantation de café Suan Lahu (4h de route)</t>
  </si>
  <si>
    <t>Visite village de 15à 16h</t>
  </si>
  <si>
    <t>J7</t>
  </si>
  <si>
    <t>Visite geysers de 16h30 à 17h</t>
  </si>
  <si>
    <t>Arrivée vers 19h à Chiang Mai</t>
  </si>
  <si>
    <t>naview prasingh</t>
  </si>
  <si>
    <t>J8</t>
  </si>
  <si>
    <t>Dîner aéroport</t>
  </si>
  <si>
    <t>Hôtel Khao Sok Jungle Resort</t>
  </si>
  <si>
    <t>petit dej inclus</t>
  </si>
  <si>
    <t>J9</t>
  </si>
  <si>
    <t>Randonnée 1 journée dans la jungle avec guide</t>
  </si>
  <si>
    <t>sans teeda</t>
  </si>
  <si>
    <t>entrée du parc</t>
  </si>
  <si>
    <t>déjeuner</t>
  </si>
  <si>
    <t>diner</t>
  </si>
  <si>
    <t>J10</t>
  </si>
  <si>
    <t>Journée sur le lac + coral cave</t>
  </si>
  <si>
    <t>faire contrat avec teeda</t>
  </si>
  <si>
    <t>Guide</t>
  </si>
  <si>
    <t>diner hôtel</t>
  </si>
  <si>
    <t>J11</t>
  </si>
  <si>
    <t>TOTAL € personne seule =</t>
  </si>
  <si>
    <t>Location bureaux =</t>
  </si>
  <si>
    <t>Total de nos frais =</t>
  </si>
  <si>
    <t>J12</t>
  </si>
  <si>
    <t>Notre bénéfice par pers. et par J. =</t>
  </si>
  <si>
    <t>Nb de pers. =</t>
  </si>
  <si>
    <t>dîner hôtel</t>
  </si>
  <si>
    <t>Bénéfice total =</t>
  </si>
  <si>
    <t>Total général à facturer =</t>
  </si>
  <si>
    <t>J13</t>
  </si>
  <si>
    <t>A facturer par pers seule =</t>
  </si>
  <si>
    <t>A facturer par couple =</t>
  </si>
  <si>
    <t>Total hôtel/pers =</t>
  </si>
  <si>
    <t>Total hors hôtel =</t>
  </si>
  <si>
    <t>orchir resort + diner G&amp;T</t>
  </si>
  <si>
    <t>Prix pour groupe de 8 = pers. Seule</t>
  </si>
  <si>
    <t>J14</t>
  </si>
  <si>
    <t xml:space="preserve">                                                    Couple</t>
  </si>
  <si>
    <t>Prix pour groupe de 6 = pers. Seule</t>
  </si>
  <si>
    <t>J15</t>
  </si>
  <si>
    <t>Prix pour groupe de 4 = pers. Seule</t>
  </si>
  <si>
    <t>Prix pour groupe de 2 = pers. Seule</t>
  </si>
  <si>
    <t>J16</t>
  </si>
  <si>
    <t>J17</t>
  </si>
  <si>
    <t>vol bkk à udon</t>
  </si>
  <si>
    <t>Vol de don muang à surat thani à 14h25 arrivée 15h40</t>
  </si>
  <si>
    <t>J23</t>
  </si>
  <si>
    <t>lien extraction :</t>
  </si>
  <si>
    <t xml:space="preserve">http://fr.exchange-rates.org/majorrates.aspx </t>
  </si>
  <si>
    <t>Aller dans "données", "actualiser tout", "propriétés de connexion"</t>
  </si>
  <si>
    <t>Exchange-Rates.org</t>
  </si>
  <si>
    <t>Taux de change de devises internationales</t>
  </si>
  <si>
    <t xml:space="preserve">et leurs historiques </t>
  </si>
  <si>
    <t xml:space="preserve">Toggle navigation </t>
  </si>
  <si>
    <t>Français</t>
  </si>
  <si>
    <t>COURS DES DEVISES EN TEMPS REEL :</t>
  </si>
  <si>
    <t xml:space="preserve">Top 30 des Devises Internationales </t>
  </si>
  <si>
    <t>DEVISE</t>
  </si>
  <si>
    <t>DEVISE/€</t>
  </si>
  <si>
    <t>€/DEVISE</t>
  </si>
  <si>
    <t xml:space="preserve">Devises par Région </t>
  </si>
  <si>
    <t>USD</t>
  </si>
  <si>
    <t>Amérique du Nord et du Sud Asie et Pacifique Europe Moyen-Orient et Asie Centrale Afrique</t>
  </si>
  <si>
    <t>CHF</t>
  </si>
  <si>
    <t xml:space="preserve">Webmestres </t>
  </si>
  <si>
    <t>RMB</t>
  </si>
  <si>
    <t>English</t>
  </si>
  <si>
    <t>BAHT</t>
  </si>
  <si>
    <t>Deutsch</t>
  </si>
  <si>
    <t>HKD</t>
  </si>
  <si>
    <t>Español</t>
  </si>
  <si>
    <t>DEVISE/USD</t>
  </si>
  <si>
    <t>DEVISE/RMB</t>
  </si>
  <si>
    <t>Italiano</t>
  </si>
  <si>
    <t>Nederlands</t>
  </si>
  <si>
    <t>Português</t>
  </si>
  <si>
    <t>Русский</t>
  </si>
  <si>
    <t>한국어</t>
  </si>
  <si>
    <t>中文</t>
  </si>
  <si>
    <t>日本語</t>
  </si>
  <si>
    <t>繁體中文</t>
  </si>
  <si>
    <t>Bahasa Indonesia</t>
  </si>
  <si>
    <t>Bahasa Malaysia</t>
  </si>
  <si>
    <t>Čeština</t>
  </si>
  <si>
    <t>Norsk</t>
  </si>
  <si>
    <t>Polski</t>
  </si>
  <si>
    <t>Svenska</t>
  </si>
  <si>
    <t>Tiếng Việt</t>
  </si>
  <si>
    <t>Türkçe</t>
  </si>
  <si>
    <t>Ελληνικά</t>
  </si>
  <si>
    <t>हिंदी</t>
  </si>
  <si>
    <t>ภาษาไทย</t>
  </si>
  <si>
    <t>Autres Langues</t>
  </si>
  <si>
    <t>Taux de Change</t>
  </si>
  <si>
    <t>Top 30 des Devises Internationales</t>
  </si>
  <si>
    <t>EUR</t>
  </si>
  <si>
    <t>GBP</t>
  </si>
  <si>
    <t>CAD</t>
  </si>
  <si>
    <t>JPY</t>
  </si>
  <si>
    <t>AUD</t>
  </si>
  <si>
    <t>Baht thaïlandais</t>
  </si>
  <si>
    <t>Couronne danoise</t>
  </si>
  <si>
    <t>Couronne norvégienne</t>
  </si>
  <si>
    <t>Couronne suédoise</t>
  </si>
  <si>
    <t>Couronne tchèque</t>
  </si>
  <si>
    <t>Dollar américain</t>
  </si>
  <si>
    <t>Dollar australien</t>
  </si>
  <si>
    <t>Dollar canadien</t>
  </si>
  <si>
    <t>Dollar de Hong Kong</t>
  </si>
  <si>
    <t>Dollar de Singapour</t>
  </si>
  <si>
    <t>Dollar néo-zélandais</t>
  </si>
  <si>
    <t>Dollar taïwanais</t>
  </si>
  <si>
    <t>Euro</t>
  </si>
  <si>
    <t>Forint hongrois</t>
  </si>
  <si>
    <t>Franc suisse</t>
  </si>
  <si>
    <t>Lire turque</t>
  </si>
  <si>
    <t>Livre sterling</t>
  </si>
  <si>
    <t>Nouveau Shékel israélien</t>
  </si>
  <si>
    <t>Peso chilien</t>
  </si>
  <si>
    <t>Peso mexicain</t>
  </si>
  <si>
    <t>Peso philippin</t>
  </si>
  <si>
    <t>Rand sud-africain</t>
  </si>
  <si>
    <t>Real brésilien</t>
  </si>
  <si>
    <t>Renmimbi Yuan chinois</t>
  </si>
  <si>
    <t>Ringgit malasio</t>
  </si>
  <si>
    <t>Rouble russe</t>
  </si>
  <si>
    <t>Roupie indienne</t>
  </si>
  <si>
    <t>Roupie pakistanaise</t>
  </si>
  <si>
    <t>Rupiah indonésien</t>
  </si>
  <si>
    <t>Won sud-coréen</t>
  </si>
  <si>
    <t>Yen japonais</t>
  </si>
  <si>
    <t>Zloty polonais</t>
  </si>
  <si>
    <t>Convertisseur de Devises</t>
  </si>
  <si>
    <t>Montant:</t>
  </si>
  <si>
    <t>De:</t>
  </si>
  <si>
    <t>▼</t>
  </si>
  <si>
    <t>En:</t>
  </si>
  <si>
    <t>Cliquez pour plus de devises</t>
  </si>
  <si>
    <t xml:space="preserve">Devises Principales </t>
  </si>
  <si>
    <t>EUR Euro USD Dollar américain CHF Franc suisse GBP Livre sterling CAD Dollar canadien JPY Yen japonais AUD Dollar australien HKD Dollar de Hong Kong Top 30 des Devises Internationales</t>
  </si>
  <si>
    <t>Ajoutez notre convertisseur de devises gratuit et nos tableaux de taux de change à votre site dès aujourd'hui.</t>
  </si>
  <si>
    <t>Privacy and Terms</t>
  </si>
  <si>
    <t>10J Plongée</t>
  </si>
  <si>
    <t>New siam palace ville</t>
  </si>
  <si>
    <t>Hôtel villa 23 Residence</t>
  </si>
  <si>
    <t>Départ hôtel à 8h de l'hôtel</t>
  </si>
  <si>
    <t>vol air asia pour koh samui à 9h45 et arrivée 16h30 (escale surat thani puis bus et ferry)</t>
  </si>
  <si>
    <t>hôtel punnpreeda (T&amp;G P&amp;T Hostel)</t>
  </si>
  <si>
    <t>J4  à J9</t>
  </si>
  <si>
    <t>dîner</t>
  </si>
  <si>
    <t>départ hôtel à 10h30 pour vol air asia à 12h arrivée 19h10 don muang</t>
  </si>
  <si>
    <t>Taxi don muang à suvarnabhumi</t>
  </si>
  <si>
    <t xml:space="preserve">Guide </t>
  </si>
  <si>
    <t>Marge</t>
  </si>
  <si>
    <t>dépenses</t>
  </si>
  <si>
    <t>2 pers</t>
  </si>
  <si>
    <t>4 pers</t>
  </si>
  <si>
    <t>6 pers</t>
  </si>
  <si>
    <t>8 pers</t>
  </si>
  <si>
    <t>marge</t>
  </si>
  <si>
    <t>total</t>
  </si>
  <si>
    <t>frais bancaires 3%</t>
  </si>
  <si>
    <t>Total final</t>
  </si>
  <si>
    <t>Total/pers</t>
  </si>
  <si>
    <t>Grand palais l'après midi + taxi AR 200/p</t>
  </si>
  <si>
    <t>9h klongs</t>
  </si>
  <si>
    <t>taxi klongs</t>
  </si>
  <si>
    <t>Taxi J Thompson</t>
  </si>
  <si>
    <t>Jim Thompson</t>
  </si>
  <si>
    <t>Taxi hôtel</t>
  </si>
  <si>
    <t>Départ vers 15h pour Kanchanaburi (arrivée vers 17h30)</t>
  </si>
  <si>
    <t>ganesha park</t>
  </si>
  <si>
    <t>départ 8h hôtel</t>
  </si>
  <si>
    <t>Vol 14h25 pour Samui air asia arrivée 20h30 (arrivée surat thani à 15h40 - départ bus 17h15 pour port arrivée port 18h45 - départ port 19h arrivée 20h30)</t>
  </si>
  <si>
    <t>Arrivée 20h30 soit vers 21h à l'hôtel</t>
  </si>
  <si>
    <t>J8  à J12</t>
  </si>
  <si>
    <t>hôtel punnpreeda</t>
  </si>
  <si>
    <t>sans jungle raft</t>
  </si>
  <si>
    <t>Départ 8h30 pour aéroport don muang</t>
  </si>
  <si>
    <t>navette airport surathani à khao sok</t>
  </si>
  <si>
    <t>déjeuner don muang</t>
  </si>
  <si>
    <t>Van à la journée pour aller au port</t>
  </si>
  <si>
    <t>départ 8h pour port et bateau à 10h arrivée 15h soit vers 16h à l'hôtel</t>
  </si>
  <si>
    <t>J11  à J15</t>
  </si>
  <si>
    <t>Départ 9h pour Don Muang - arrivée vers midi</t>
  </si>
  <si>
    <t>Déjeuner aéroport</t>
  </si>
  <si>
    <t>Vol nok air pour chiang rai à 14h15 arrivée 15h30 soit vers 16h30 à l'hôtel</t>
  </si>
  <si>
    <t>Van retour Thaton</t>
  </si>
  <si>
    <t>Location motos 2j</t>
  </si>
  <si>
    <t>Taxi pour chercher valises</t>
  </si>
  <si>
    <t>tuk tuk marché de nuit AR</t>
  </si>
  <si>
    <t>kalaka resort</t>
  </si>
  <si>
    <t>Journée cuisine de 10h à 16h</t>
  </si>
  <si>
    <t>Départ à 9h pour aéroport (van)</t>
  </si>
  <si>
    <t>Vol air asia pour surat thani à 11h10 arrivée 13h</t>
  </si>
  <si>
    <t>navette airport surathani arrivée hôtel 14h30</t>
  </si>
  <si>
    <t>Déjeuner en arrivant hôtel</t>
  </si>
  <si>
    <t>J18  à J22</t>
  </si>
  <si>
    <t>Calculator</t>
  </si>
  <si>
    <t xml:space="preserve">Facebook </t>
  </si>
  <si>
    <t xml:space="preserve">Twitter </t>
  </si>
  <si>
    <t>不A</t>
  </si>
  <si>
    <t>Rechercher</t>
  </si>
  <si>
    <t>Taux de Change en date du 30 mars 2020</t>
  </si>
  <si>
    <t>30/03/2020 12:10 UTC</t>
  </si>
  <si>
    <t>Exchange-Rates.org © 2020 MBH Media, Inc. Currency data by Xignite</t>
  </si>
  <si>
    <t xml:space="preserve">www.exchange-rates.org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</si>
</sst>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164" formatCode="#,##0\ &quot;€&quot;"/>
    <numFmt numFmtId="165" formatCode="#,##0.00\ &quot;€&quot;"/>
    <numFmt numFmtId="166" formatCode="0.0000"/>
    <numFmt numFmtId="167" formatCode="#,##0.00\ [$USD]"/>
    <numFmt numFmtId="168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6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3" fillId="0" borderId="0" xfId="0" applyFont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164" fontId="0" fillId="0" borderId="0" xfId="0" applyNumberFormat="1" applyBorder="1"/>
    <xf numFmtId="164" fontId="1" fillId="0" borderId="1" xfId="0" applyNumberFormat="1" applyFont="1" applyBorder="1"/>
    <xf numFmtId="164" fontId="0" fillId="0" borderId="0" xfId="0" applyNumberFormat="1" applyFill="1"/>
    <xf numFmtId="6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/>
    <xf numFmtId="0" fontId="0" fillId="2" borderId="0" xfId="0" applyFill="1"/>
    <xf numFmtId="2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2" borderId="0" xfId="0" applyNumberFormat="1" applyFill="1"/>
    <xf numFmtId="1" fontId="0" fillId="0" borderId="0" xfId="0" applyNumberFormat="1"/>
    <xf numFmtId="14" fontId="5" fillId="0" borderId="0" xfId="0" applyNumberFormat="1" applyFont="1"/>
    <xf numFmtId="10" fontId="5" fillId="0" borderId="0" xfId="0" applyNumberFormat="1" applyFont="1"/>
    <xf numFmtId="0" fontId="7" fillId="0" borderId="0" xfId="1" applyAlignment="1" applyProtection="1"/>
    <xf numFmtId="0" fontId="8" fillId="0" borderId="0" xfId="1" quotePrefix="1" applyFont="1" applyAlignment="1" applyProtection="1"/>
    <xf numFmtId="2" fontId="5" fillId="0" borderId="0" xfId="0" applyNumberFormat="1" applyFont="1"/>
    <xf numFmtId="0" fontId="2" fillId="0" borderId="0" xfId="0" applyFont="1"/>
    <xf numFmtId="0" fontId="8" fillId="0" borderId="0" xfId="1" applyFont="1" applyAlignment="1" applyProtection="1"/>
    <xf numFmtId="0" fontId="9" fillId="0" borderId="0" xfId="0" applyFont="1" applyFill="1" applyBorder="1"/>
    <xf numFmtId="2" fontId="2" fillId="0" borderId="0" xfId="0" applyNumberFormat="1" applyFont="1" applyFill="1"/>
    <xf numFmtId="2" fontId="9" fillId="0" borderId="0" xfId="0" applyNumberFormat="1" applyFont="1" applyFill="1"/>
    <xf numFmtId="2" fontId="2" fillId="0" borderId="0" xfId="0" applyNumberFormat="1" applyFont="1"/>
    <xf numFmtId="166" fontId="1" fillId="0" borderId="1" xfId="0" applyNumberFormat="1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167" fontId="9" fillId="0" borderId="0" xfId="0" applyNumberFormat="1" applyFont="1"/>
    <xf numFmtId="168" fontId="1" fillId="0" borderId="1" xfId="0" applyNumberFormat="1" applyFont="1" applyBorder="1" applyAlignment="1">
      <alignment horizontal="center"/>
    </xf>
    <xf numFmtId="165" fontId="9" fillId="0" borderId="0" xfId="0" applyNumberFormat="1" applyFont="1"/>
    <xf numFmtId="0" fontId="1" fillId="0" borderId="1" xfId="0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Fill="1" applyBorder="1"/>
    <xf numFmtId="16" fontId="9" fillId="0" borderId="0" xfId="0" applyNumberFormat="1" applyFont="1"/>
    <xf numFmtId="10" fontId="9" fillId="0" borderId="0" xfId="0" applyNumberFormat="1" applyFont="1"/>
    <xf numFmtId="167" fontId="0" fillId="0" borderId="0" xfId="0" applyNumberFormat="1"/>
    <xf numFmtId="0" fontId="9" fillId="0" borderId="0" xfId="0" applyFont="1" applyAlignment="1">
      <alignment horizontal="right"/>
    </xf>
    <xf numFmtId="16" fontId="0" fillId="0" borderId="0" xfId="0" applyNumberFormat="1"/>
    <xf numFmtId="16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 applyAlignment="1">
      <alignment horizontal="left"/>
    </xf>
    <xf numFmtId="4" fontId="0" fillId="0" borderId="0" xfId="0" applyNumberFormat="1" applyFill="1"/>
    <xf numFmtId="2" fontId="0" fillId="0" borderId="0" xfId="0" applyNumberFormat="1" applyFont="1" applyFill="1"/>
    <xf numFmtId="0" fontId="4" fillId="0" borderId="0" xfId="0" applyFo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ajorrate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r.exchange-rates.org/majorrat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tabSelected="1" zoomScaleNormal="100" workbookViewId="0">
      <selection activeCell="E18" sqref="E18"/>
    </sheetView>
  </sheetViews>
  <sheetFormatPr baseColWidth="10" defaultRowHeight="15" x14ac:dyDescent="0.25"/>
  <cols>
    <col min="1" max="1" width="0.85546875" customWidth="1"/>
    <col min="3" max="3" width="6" customWidth="1"/>
    <col min="4" max="4" width="11" bestFit="1" customWidth="1"/>
    <col min="5" max="5" width="10.42578125" customWidth="1"/>
    <col min="6" max="6" width="10.140625" customWidth="1"/>
    <col min="7" max="8" width="10.42578125" customWidth="1"/>
    <col min="9" max="9" width="10.7109375" customWidth="1"/>
    <col min="14" max="15" width="0" hidden="1" customWidth="1"/>
  </cols>
  <sheetData>
    <row r="1" spans="2:15" x14ac:dyDescent="0.25">
      <c r="B1" s="71" t="s">
        <v>21</v>
      </c>
      <c r="C1" s="71"/>
      <c r="D1" s="71"/>
      <c r="E1" s="71"/>
      <c r="F1" s="71"/>
      <c r="G1" s="71"/>
      <c r="H1" s="71"/>
      <c r="I1" s="71"/>
      <c r="J1" s="71"/>
      <c r="K1" s="71"/>
      <c r="N1" t="s">
        <v>1</v>
      </c>
      <c r="O1">
        <v>1.0649999999999999</v>
      </c>
    </row>
    <row r="2" spans="2:15" x14ac:dyDescent="0.25">
      <c r="B2" s="5" t="s">
        <v>22</v>
      </c>
      <c r="C2" s="17"/>
      <c r="D2" s="17"/>
      <c r="E2" s="17"/>
      <c r="F2" s="17"/>
      <c r="G2" s="17"/>
      <c r="H2" s="18"/>
      <c r="I2" s="17"/>
    </row>
    <row r="3" spans="2:15" x14ac:dyDescent="0.25">
      <c r="B3" s="5" t="s">
        <v>23</v>
      </c>
      <c r="C3" s="17"/>
      <c r="D3" s="17"/>
      <c r="E3" s="17"/>
      <c r="F3" s="17"/>
      <c r="G3" s="17"/>
      <c r="H3" s="18"/>
      <c r="I3" s="17"/>
    </row>
    <row r="4" spans="2:15" x14ac:dyDescent="0.25">
      <c r="B4" s="5" t="s">
        <v>24</v>
      </c>
      <c r="C4" s="20"/>
      <c r="D4" s="20"/>
      <c r="E4" s="20"/>
      <c r="F4" s="20"/>
      <c r="G4" s="20"/>
      <c r="H4" s="20"/>
      <c r="I4" s="20"/>
    </row>
    <row r="5" spans="2:15" x14ac:dyDescent="0.25">
      <c r="B5" s="5" t="s">
        <v>18</v>
      </c>
      <c r="C5" s="17"/>
      <c r="D5" s="17"/>
      <c r="E5" s="17"/>
      <c r="F5" s="17"/>
      <c r="G5" s="17"/>
      <c r="H5" s="18"/>
      <c r="I5" s="17"/>
    </row>
    <row r="6" spans="2:15" x14ac:dyDescent="0.25">
      <c r="B6" s="5" t="s">
        <v>19</v>
      </c>
      <c r="C6" s="17"/>
      <c r="D6" s="17"/>
      <c r="E6" s="17"/>
      <c r="F6" s="17"/>
      <c r="G6" s="17"/>
      <c r="H6" s="18"/>
      <c r="I6" s="17"/>
    </row>
    <row r="7" spans="2:15" x14ac:dyDescent="0.25">
      <c r="B7" s="5" t="s">
        <v>25</v>
      </c>
      <c r="C7" s="17"/>
      <c r="D7" s="17"/>
      <c r="E7" s="17"/>
      <c r="F7" s="17"/>
      <c r="G7" s="17"/>
      <c r="H7" s="18"/>
      <c r="I7" s="17"/>
    </row>
    <row r="8" spans="2:15" x14ac:dyDescent="0.25">
      <c r="B8" s="5" t="s">
        <v>26</v>
      </c>
      <c r="C8" s="17"/>
      <c r="D8" s="17"/>
      <c r="E8" s="17"/>
      <c r="F8" s="17"/>
      <c r="G8" s="17"/>
      <c r="H8" s="18"/>
      <c r="I8" s="17"/>
    </row>
    <row r="9" spans="2:15" x14ac:dyDescent="0.25">
      <c r="B9" s="5" t="s">
        <v>20</v>
      </c>
      <c r="C9" s="17"/>
      <c r="D9" s="17"/>
      <c r="E9" s="17"/>
      <c r="F9" s="17"/>
      <c r="G9" s="17"/>
      <c r="H9" s="18"/>
      <c r="I9" s="17"/>
    </row>
    <row r="10" spans="2:15" x14ac:dyDescent="0.25">
      <c r="B10" s="5"/>
      <c r="C10" s="25"/>
      <c r="D10" s="25"/>
      <c r="E10" s="25"/>
      <c r="F10" s="25"/>
      <c r="G10" s="25"/>
      <c r="H10" s="25"/>
      <c r="I10" s="25"/>
    </row>
    <row r="11" spans="2:15" x14ac:dyDescent="0.25">
      <c r="B11" s="26" t="s">
        <v>27</v>
      </c>
      <c r="C11" s="25"/>
      <c r="D11" s="25"/>
      <c r="E11" s="25"/>
      <c r="F11" s="25"/>
      <c r="G11" s="25"/>
      <c r="H11" s="25"/>
      <c r="I11" s="25"/>
    </row>
    <row r="12" spans="2:15" x14ac:dyDescent="0.25">
      <c r="B12" s="17"/>
      <c r="C12" s="17"/>
      <c r="D12" s="17"/>
      <c r="E12" s="17"/>
      <c r="F12" s="17"/>
      <c r="G12" s="17"/>
      <c r="H12" s="18"/>
      <c r="I12" s="17"/>
    </row>
    <row r="13" spans="2:15" x14ac:dyDescent="0.25">
      <c r="B13" s="7" t="s">
        <v>0</v>
      </c>
      <c r="E13" s="67" t="s">
        <v>2</v>
      </c>
      <c r="F13" s="68"/>
      <c r="G13" s="68"/>
      <c r="H13" s="68"/>
      <c r="I13" s="69"/>
    </row>
    <row r="14" spans="2:15" x14ac:dyDescent="0.25">
      <c r="D14" s="1"/>
      <c r="E14" s="19" t="s">
        <v>4</v>
      </c>
      <c r="F14" s="21" t="s">
        <v>15</v>
      </c>
      <c r="G14" s="22" t="s">
        <v>16</v>
      </c>
      <c r="H14" s="22" t="s">
        <v>17</v>
      </c>
      <c r="I14" s="22"/>
    </row>
    <row r="15" spans="2:15" x14ac:dyDescent="0.25">
      <c r="D15" s="6" t="s">
        <v>8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3</v>
      </c>
    </row>
    <row r="16" spans="2:15" s="16" customFormat="1" ht="12" customHeight="1" x14ac:dyDescent="0.25">
      <c r="B16" s="23"/>
      <c r="C16" s="24"/>
      <c r="D16" s="24"/>
      <c r="E16" s="72" t="s">
        <v>9</v>
      </c>
      <c r="F16" s="73"/>
      <c r="G16" s="73"/>
      <c r="H16" s="73"/>
      <c r="I16" s="74"/>
      <c r="J16" s="13"/>
      <c r="K16" s="14"/>
      <c r="L16" s="15"/>
    </row>
    <row r="17" spans="2:12" x14ac:dyDescent="0.25">
      <c r="B17" s="70" t="s">
        <v>5</v>
      </c>
      <c r="C17" s="70"/>
      <c r="D17" s="8" t="s">
        <v>10</v>
      </c>
      <c r="E17" s="11">
        <f>+'10j'!I39*$O$1</f>
        <v>1570.19871435</v>
      </c>
      <c r="F17" s="11">
        <f>+'10j'!J39*$O$1</f>
        <v>1115.548100325</v>
      </c>
      <c r="G17" s="11">
        <f>+'10j'!K39*$O$1</f>
        <v>963.99789564999992</v>
      </c>
      <c r="H17" s="11">
        <f>+'10j'!L39*$O$1</f>
        <v>848.2852933124999</v>
      </c>
      <c r="I17" s="11">
        <f>+('10j'!D48/2)*$O$1</f>
        <v>264.76760519999993</v>
      </c>
      <c r="J17" s="3"/>
      <c r="K17" s="12"/>
      <c r="L17" s="4"/>
    </row>
    <row r="18" spans="2:12" x14ac:dyDescent="0.25">
      <c r="B18" s="70" t="s">
        <v>6</v>
      </c>
      <c r="C18" s="70"/>
      <c r="D18" s="8" t="s">
        <v>11</v>
      </c>
      <c r="E18" s="11">
        <f>+'13j'!I66*$O$1</f>
        <v>2335.8535304999996</v>
      </c>
      <c r="F18" s="11">
        <f>+'13j'!J66*$O$1</f>
        <v>1588.0797554999997</v>
      </c>
      <c r="G18" s="11">
        <f>+'13j'!K66*$O$1</f>
        <v>1321.0718305</v>
      </c>
      <c r="H18" s="11">
        <f>+'13j'!L66*$O$1</f>
        <v>1180.2390039375</v>
      </c>
      <c r="I18" s="11">
        <f>+('13j'!D74/2)*$O$1</f>
        <v>330.14941424999995</v>
      </c>
      <c r="J18" s="3"/>
      <c r="K18" s="4"/>
      <c r="L18" s="4"/>
    </row>
    <row r="19" spans="2:12" x14ac:dyDescent="0.25">
      <c r="B19" s="70" t="s">
        <v>7</v>
      </c>
      <c r="C19" s="70"/>
      <c r="D19" s="8" t="s">
        <v>12</v>
      </c>
      <c r="E19" s="11">
        <f>+'16j'!I77*$O$1</f>
        <v>2902.1225505000002</v>
      </c>
      <c r="F19" s="11">
        <f>+'16j'!J77*$O$1</f>
        <v>1945.5954629999999</v>
      </c>
      <c r="G19" s="11">
        <f>+'16j'!K77*$O$1</f>
        <v>1626.7531004999996</v>
      </c>
      <c r="H19" s="11">
        <f>+'16j'!L77*$O$1</f>
        <v>1526.5655551874997</v>
      </c>
      <c r="I19" s="11">
        <f>+('16j'!D85/2)*$O$1</f>
        <v>383.17363424999996</v>
      </c>
      <c r="J19" s="3"/>
      <c r="K19" s="4"/>
      <c r="L19" s="4"/>
    </row>
    <row r="20" spans="2:12" x14ac:dyDescent="0.25">
      <c r="B20" s="70" t="s">
        <v>13</v>
      </c>
      <c r="C20" s="70"/>
      <c r="D20" s="8" t="s">
        <v>14</v>
      </c>
      <c r="E20" s="11">
        <f>+'23j'!I127*$O$1</f>
        <v>4333.5894764999994</v>
      </c>
      <c r="F20" s="11">
        <f>+'23j'!J127*$O$1</f>
        <v>2841.4639844999997</v>
      </c>
      <c r="G20" s="11">
        <f>+'23j'!K127*$O$1</f>
        <v>2344.0888204999997</v>
      </c>
      <c r="H20" s="11">
        <f>+'23j'!L127*$O$1</f>
        <v>2101.3848744375</v>
      </c>
      <c r="I20" s="11">
        <f>+('23j'!D135/2)*$O$1</f>
        <v>515.73418424999988</v>
      </c>
      <c r="J20" s="3"/>
      <c r="K20" s="4"/>
      <c r="L20" s="4"/>
    </row>
    <row r="21" spans="2:12" x14ac:dyDescent="0.25">
      <c r="J21" s="3"/>
    </row>
    <row r="22" spans="2:12" x14ac:dyDescent="0.25">
      <c r="J22" s="3"/>
    </row>
    <row r="23" spans="2:12" x14ac:dyDescent="0.25">
      <c r="B23" s="9"/>
      <c r="C23" s="9"/>
      <c r="D23" s="9"/>
      <c r="E23" s="10"/>
      <c r="F23" s="10"/>
      <c r="G23" s="10"/>
      <c r="H23" s="10"/>
      <c r="I23" s="10"/>
      <c r="J23" s="3"/>
    </row>
    <row r="24" spans="2:12" x14ac:dyDescent="0.25">
      <c r="B24" s="9"/>
      <c r="C24" s="9"/>
      <c r="D24" s="9"/>
      <c r="E24" s="10"/>
      <c r="F24" s="10"/>
      <c r="G24" s="10"/>
      <c r="H24" s="10"/>
      <c r="I24" s="10"/>
      <c r="J24" s="3"/>
    </row>
    <row r="25" spans="2:12" x14ac:dyDescent="0.25">
      <c r="B25" s="9"/>
      <c r="C25" s="9"/>
      <c r="D25" s="9"/>
      <c r="E25" s="10"/>
      <c r="F25" s="10"/>
      <c r="G25" s="10"/>
      <c r="H25" s="10"/>
      <c r="I25" s="10"/>
      <c r="J25" s="3"/>
    </row>
  </sheetData>
  <sheetProtection selectLockedCells="1" selectUnlockedCells="1"/>
  <mergeCells count="7">
    <mergeCell ref="E13:I13"/>
    <mergeCell ref="B19:C19"/>
    <mergeCell ref="B20:C20"/>
    <mergeCell ref="B1:K1"/>
    <mergeCell ref="B17:C17"/>
    <mergeCell ref="B18:C18"/>
    <mergeCell ref="E16:I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opLeftCell="A22" workbookViewId="0">
      <selection activeCell="I39" sqref="I39"/>
    </sheetView>
  </sheetViews>
  <sheetFormatPr baseColWidth="10" defaultRowHeight="15" x14ac:dyDescent="0.25"/>
  <cols>
    <col min="1" max="1" width="8" bestFit="1" customWidth="1"/>
    <col min="2" max="2" width="9.85546875" bestFit="1" customWidth="1"/>
    <col min="3" max="3" width="74" bestFit="1" customWidth="1"/>
    <col min="4" max="4" width="13" bestFit="1" customWidth="1"/>
    <col min="5" max="5" width="9.5703125" bestFit="1" customWidth="1"/>
    <col min="6" max="6" width="23.5703125" bestFit="1" customWidth="1"/>
  </cols>
  <sheetData>
    <row r="1" spans="1:5" x14ac:dyDescent="0.25">
      <c r="C1">
        <f>+Feuil2!M12</f>
        <v>36.153289949385396</v>
      </c>
    </row>
    <row r="2" spans="1:5" x14ac:dyDescent="0.25">
      <c r="C2" s="31" t="s">
        <v>29</v>
      </c>
      <c r="D2">
        <f>+(E11+E17+E22+E25+E26+E28+E29)/2*1.4</f>
        <v>0</v>
      </c>
    </row>
    <row r="3" spans="1:5" x14ac:dyDescent="0.25">
      <c r="C3" s="32" t="s">
        <v>244</v>
      </c>
      <c r="D3" s="32"/>
      <c r="E3" s="32"/>
    </row>
    <row r="4" spans="1:5" x14ac:dyDescent="0.25">
      <c r="B4" t="s">
        <v>30</v>
      </c>
      <c r="D4" t="s">
        <v>31</v>
      </c>
      <c r="E4" t="s">
        <v>32</v>
      </c>
    </row>
    <row r="5" spans="1:5" x14ac:dyDescent="0.25">
      <c r="C5" t="s">
        <v>33</v>
      </c>
      <c r="D5" s="29"/>
      <c r="E5" s="30">
        <v>0</v>
      </c>
    </row>
    <row r="6" spans="1:5" x14ac:dyDescent="0.25">
      <c r="C6" t="s">
        <v>35</v>
      </c>
      <c r="D6" s="29"/>
      <c r="E6" s="30">
        <v>0</v>
      </c>
    </row>
    <row r="7" spans="1:5" x14ac:dyDescent="0.25">
      <c r="C7" t="s">
        <v>36</v>
      </c>
      <c r="D7" s="29"/>
      <c r="E7" s="30">
        <v>0</v>
      </c>
    </row>
    <row r="8" spans="1:5" x14ac:dyDescent="0.25">
      <c r="C8" t="s">
        <v>37</v>
      </c>
      <c r="D8" s="29"/>
      <c r="E8" s="30">
        <v>0</v>
      </c>
    </row>
    <row r="9" spans="1:5" x14ac:dyDescent="0.25">
      <c r="A9" s="60"/>
      <c r="B9" t="s">
        <v>34</v>
      </c>
      <c r="C9" t="s">
        <v>38</v>
      </c>
      <c r="E9" s="29">
        <v>2700</v>
      </c>
    </row>
    <row r="10" spans="1:5" x14ac:dyDescent="0.25">
      <c r="A10" s="60"/>
      <c r="C10" t="s">
        <v>245</v>
      </c>
      <c r="D10" s="30">
        <v>1620</v>
      </c>
      <c r="E10" s="30">
        <v>0</v>
      </c>
    </row>
    <row r="11" spans="1:5" x14ac:dyDescent="0.25">
      <c r="A11" s="60"/>
      <c r="C11" t="s">
        <v>44</v>
      </c>
      <c r="D11" s="30"/>
      <c r="E11" s="30">
        <v>0</v>
      </c>
    </row>
    <row r="12" spans="1:5" x14ac:dyDescent="0.25">
      <c r="A12" s="60"/>
      <c r="C12" t="s">
        <v>49</v>
      </c>
      <c r="D12" s="30">
        <v>0</v>
      </c>
      <c r="E12" s="30">
        <v>3000</v>
      </c>
    </row>
    <row r="13" spans="1:5" x14ac:dyDescent="0.25">
      <c r="A13" s="60"/>
      <c r="C13" t="s">
        <v>54</v>
      </c>
      <c r="D13" s="30">
        <v>0</v>
      </c>
      <c r="E13" s="30"/>
    </row>
    <row r="14" spans="1:5" x14ac:dyDescent="0.25">
      <c r="A14" s="60"/>
      <c r="B14" t="s">
        <v>40</v>
      </c>
      <c r="C14" t="s">
        <v>68</v>
      </c>
      <c r="D14" s="29">
        <v>200</v>
      </c>
      <c r="E14" s="29">
        <v>0</v>
      </c>
    </row>
    <row r="15" spans="1:5" x14ac:dyDescent="0.25">
      <c r="A15" s="60"/>
      <c r="C15" t="s">
        <v>71</v>
      </c>
      <c r="D15" s="29">
        <v>400</v>
      </c>
      <c r="E15" s="29"/>
    </row>
    <row r="16" spans="1:5" x14ac:dyDescent="0.25">
      <c r="A16" s="60"/>
      <c r="C16" t="s">
        <v>61</v>
      </c>
      <c r="D16" s="29">
        <v>9</v>
      </c>
      <c r="E16" s="29">
        <v>9</v>
      </c>
    </row>
    <row r="17" spans="1:5" x14ac:dyDescent="0.25">
      <c r="A17" s="60"/>
      <c r="C17" t="s">
        <v>43</v>
      </c>
      <c r="E17" s="29">
        <v>0</v>
      </c>
    </row>
    <row r="18" spans="1:5" x14ac:dyDescent="0.25">
      <c r="A18" s="60"/>
      <c r="C18" t="s">
        <v>48</v>
      </c>
      <c r="D18" s="30">
        <v>500</v>
      </c>
      <c r="E18" s="30">
        <v>0</v>
      </c>
    </row>
    <row r="19" spans="1:5" x14ac:dyDescent="0.25">
      <c r="A19" s="60"/>
      <c r="C19" t="s">
        <v>53</v>
      </c>
      <c r="D19" s="29">
        <v>100</v>
      </c>
      <c r="E19" s="29">
        <v>0</v>
      </c>
    </row>
    <row r="20" spans="1:5" x14ac:dyDescent="0.25">
      <c r="A20" s="60"/>
      <c r="C20" t="s">
        <v>58</v>
      </c>
      <c r="D20" s="29">
        <v>50</v>
      </c>
      <c r="E20" s="29">
        <v>0</v>
      </c>
    </row>
    <row r="21" spans="1:5" x14ac:dyDescent="0.25">
      <c r="A21" s="60"/>
      <c r="C21" t="s">
        <v>246</v>
      </c>
      <c r="D21" s="30">
        <v>1656</v>
      </c>
      <c r="E21" s="30">
        <v>0</v>
      </c>
    </row>
    <row r="22" spans="1:5" x14ac:dyDescent="0.25">
      <c r="A22" s="60"/>
      <c r="C22" t="s">
        <v>44</v>
      </c>
      <c r="D22" s="30"/>
      <c r="E22" s="30">
        <v>0</v>
      </c>
    </row>
    <row r="23" spans="1:5" x14ac:dyDescent="0.25">
      <c r="A23" s="60"/>
      <c r="B23" t="s">
        <v>66</v>
      </c>
      <c r="C23" t="s">
        <v>247</v>
      </c>
      <c r="D23" s="30"/>
      <c r="E23" s="30"/>
    </row>
    <row r="24" spans="1:5" x14ac:dyDescent="0.25">
      <c r="A24" s="60"/>
      <c r="C24" t="s">
        <v>248</v>
      </c>
      <c r="D24" s="30">
        <v>1550</v>
      </c>
      <c r="E24" s="30">
        <v>1550</v>
      </c>
    </row>
    <row r="25" spans="1:5" x14ac:dyDescent="0.25">
      <c r="A25" s="60"/>
      <c r="C25" t="s">
        <v>81</v>
      </c>
      <c r="D25" s="30"/>
      <c r="E25" s="30">
        <v>0</v>
      </c>
    </row>
    <row r="26" spans="1:5" x14ac:dyDescent="0.25">
      <c r="A26" s="60"/>
      <c r="C26" t="s">
        <v>128</v>
      </c>
      <c r="D26" s="30"/>
      <c r="E26" s="30">
        <v>0</v>
      </c>
    </row>
    <row r="27" spans="1:5" x14ac:dyDescent="0.25">
      <c r="A27" s="60"/>
      <c r="C27" t="s">
        <v>249</v>
      </c>
      <c r="D27" s="30">
        <v>2100</v>
      </c>
      <c r="E27" s="30">
        <v>0</v>
      </c>
    </row>
    <row r="28" spans="1:5" x14ac:dyDescent="0.25">
      <c r="A28" s="60"/>
      <c r="B28" t="s">
        <v>250</v>
      </c>
      <c r="C28" t="s">
        <v>114</v>
      </c>
      <c r="D28" s="30"/>
      <c r="E28" s="30">
        <v>0</v>
      </c>
    </row>
    <row r="29" spans="1:5" x14ac:dyDescent="0.25">
      <c r="A29" s="60"/>
      <c r="C29" t="s">
        <v>251</v>
      </c>
      <c r="D29" s="30"/>
      <c r="E29" s="30">
        <v>0</v>
      </c>
    </row>
    <row r="30" spans="1:5" x14ac:dyDescent="0.25">
      <c r="A30" s="60"/>
      <c r="C30" t="s">
        <v>249</v>
      </c>
      <c r="D30" s="30">
        <f>2100*6</f>
        <v>12600</v>
      </c>
      <c r="E30" s="30">
        <v>0</v>
      </c>
    </row>
    <row r="31" spans="1:5" x14ac:dyDescent="0.25">
      <c r="A31" s="60"/>
      <c r="B31" t="s">
        <v>116</v>
      </c>
      <c r="C31" t="s">
        <v>252</v>
      </c>
      <c r="D31" s="30">
        <v>1400</v>
      </c>
      <c r="E31" s="30">
        <v>1400</v>
      </c>
    </row>
    <row r="32" spans="1:5" x14ac:dyDescent="0.25">
      <c r="A32" s="60"/>
      <c r="C32" t="s">
        <v>253</v>
      </c>
      <c r="D32" s="30">
        <v>200</v>
      </c>
      <c r="E32" s="30"/>
    </row>
    <row r="33" spans="1:12" x14ac:dyDescent="0.25">
      <c r="A33" s="60"/>
      <c r="C33" s="27" t="s">
        <v>136</v>
      </c>
      <c r="E33" s="29">
        <v>0</v>
      </c>
    </row>
    <row r="34" spans="1:12" x14ac:dyDescent="0.25">
      <c r="A34" s="60"/>
      <c r="C34" t="s">
        <v>37</v>
      </c>
      <c r="D34" s="29"/>
      <c r="E34" s="30">
        <v>0</v>
      </c>
    </row>
    <row r="35" spans="1:12" x14ac:dyDescent="0.25">
      <c r="A35" s="60"/>
      <c r="C35" t="s">
        <v>254</v>
      </c>
      <c r="E35" s="29">
        <f>10*3500</f>
        <v>35000</v>
      </c>
    </row>
    <row r="36" spans="1:12" x14ac:dyDescent="0.25">
      <c r="A36" s="60"/>
      <c r="C36" s="27" t="s">
        <v>146</v>
      </c>
      <c r="D36" s="29"/>
      <c r="E36" s="29">
        <v>0</v>
      </c>
    </row>
    <row r="37" spans="1:12" x14ac:dyDescent="0.25">
      <c r="E37" s="29"/>
      <c r="H37" t="s">
        <v>255</v>
      </c>
      <c r="I37" s="34">
        <f>+G39</f>
        <v>1000</v>
      </c>
      <c r="J37">
        <v>1500</v>
      </c>
      <c r="K37">
        <v>2000</v>
      </c>
      <c r="L37">
        <v>2200</v>
      </c>
    </row>
    <row r="38" spans="1:12" x14ac:dyDescent="0.25">
      <c r="C38" s="28" t="s">
        <v>122</v>
      </c>
      <c r="D38" s="33">
        <f>SUM(D5:D37)/$C$1</f>
        <v>619.16909999999996</v>
      </c>
      <c r="E38" s="33">
        <f>SUM(E5:E37)/$C$1</f>
        <v>1207.6079399999999</v>
      </c>
      <c r="F38" t="s">
        <v>256</v>
      </c>
      <c r="G38" s="30">
        <f>+E38+D38+D38-D48</f>
        <v>1948.7299800000001</v>
      </c>
      <c r="H38" s="27"/>
      <c r="I38" s="31" t="s">
        <v>257</v>
      </c>
      <c r="J38" s="31" t="s">
        <v>258</v>
      </c>
      <c r="K38" s="31" t="s">
        <v>259</v>
      </c>
      <c r="L38" s="31" t="s">
        <v>260</v>
      </c>
    </row>
    <row r="39" spans="1:12" x14ac:dyDescent="0.25">
      <c r="F39" t="s">
        <v>261</v>
      </c>
      <c r="G39" s="30">
        <v>1000</v>
      </c>
      <c r="H39" s="27"/>
      <c r="I39" s="34">
        <f>+G43</f>
        <v>1474.36499</v>
      </c>
      <c r="J39" s="34">
        <f>+((D38*4)+E38-(D48*2)+J37)/4</f>
        <v>1047.4630050000001</v>
      </c>
      <c r="K39" s="34">
        <f>+((D38*6)+E38-(D48*3)+K37)/6</f>
        <v>905.1623433333333</v>
      </c>
      <c r="L39" s="34">
        <f>+((D38*8)+E38-(D48*4)+L37)/8</f>
        <v>796.51201249999997</v>
      </c>
    </row>
    <row r="40" spans="1:12" x14ac:dyDescent="0.25">
      <c r="C40" s="28" t="s">
        <v>123</v>
      </c>
      <c r="D40" s="28"/>
      <c r="E40" s="33">
        <f>6000/$C$1/30*19</f>
        <v>105.10799999999999</v>
      </c>
      <c r="F40" t="s">
        <v>262</v>
      </c>
      <c r="G40" s="30">
        <f>+G39+G38</f>
        <v>2948.7299800000001</v>
      </c>
      <c r="H40" s="27"/>
    </row>
    <row r="41" spans="1:12" x14ac:dyDescent="0.25">
      <c r="C41" s="28" t="s">
        <v>124</v>
      </c>
      <c r="D41" s="28"/>
      <c r="E41" s="33">
        <f>+E40+E38+(D38*E43)</f>
        <v>5027.7305399999996</v>
      </c>
      <c r="F41" t="s">
        <v>263</v>
      </c>
      <c r="G41" s="65">
        <v>0</v>
      </c>
      <c r="H41" s="27"/>
    </row>
    <row r="42" spans="1:12" x14ac:dyDescent="0.25">
      <c r="C42" s="28" t="s">
        <v>126</v>
      </c>
      <c r="D42" s="28"/>
      <c r="E42" s="33">
        <v>41.5</v>
      </c>
      <c r="F42" t="s">
        <v>264</v>
      </c>
      <c r="G42" s="30">
        <f>+G41+G40</f>
        <v>2948.7299800000001</v>
      </c>
      <c r="H42" s="27"/>
    </row>
    <row r="43" spans="1:12" x14ac:dyDescent="0.25">
      <c r="C43" s="28" t="s">
        <v>127</v>
      </c>
      <c r="D43" s="33"/>
      <c r="E43" s="28">
        <v>6</v>
      </c>
      <c r="F43" t="s">
        <v>265</v>
      </c>
      <c r="G43" s="30">
        <f>+G42/2</f>
        <v>1474.36499</v>
      </c>
      <c r="H43" s="30"/>
      <c r="J43" s="29"/>
    </row>
    <row r="44" spans="1:12" x14ac:dyDescent="0.25">
      <c r="C44" s="28" t="s">
        <v>129</v>
      </c>
      <c r="D44" s="33"/>
      <c r="E44" s="33">
        <f>+E43*E42*11</f>
        <v>2739</v>
      </c>
      <c r="G44" s="30"/>
      <c r="H44" s="30"/>
      <c r="I44" s="29"/>
    </row>
    <row r="45" spans="1:12" x14ac:dyDescent="0.25">
      <c r="C45" s="28" t="s">
        <v>130</v>
      </c>
      <c r="D45" s="33"/>
      <c r="E45" s="33">
        <f>+E44+E41</f>
        <v>7766.7305399999996</v>
      </c>
      <c r="F45" s="27"/>
      <c r="G45" s="30"/>
      <c r="H45" s="30"/>
      <c r="I45" s="29"/>
      <c r="J45" s="29"/>
    </row>
    <row r="46" spans="1:12" x14ac:dyDescent="0.25">
      <c r="C46" s="28" t="s">
        <v>132</v>
      </c>
      <c r="D46" s="33">
        <f>+E45/E43</f>
        <v>1294.4550899999999</v>
      </c>
      <c r="E46" s="28"/>
      <c r="F46" s="27"/>
      <c r="G46" s="30"/>
      <c r="H46" s="30"/>
    </row>
    <row r="47" spans="1:12" x14ac:dyDescent="0.25">
      <c r="C47" s="28" t="s">
        <v>133</v>
      </c>
      <c r="D47" s="33">
        <f>+(E45/E43*2)-D48</f>
        <v>2091.6940199999999</v>
      </c>
      <c r="E47" s="28"/>
      <c r="F47" s="27"/>
      <c r="G47" s="27"/>
      <c r="H47" s="30"/>
    </row>
    <row r="48" spans="1:12" x14ac:dyDescent="0.25">
      <c r="C48" s="28" t="s">
        <v>134</v>
      </c>
      <c r="D48" s="33">
        <f>+(+D10+D21+D27+D30)/$C$1</f>
        <v>497.21615999999995</v>
      </c>
      <c r="E48" s="28"/>
      <c r="G48" s="29"/>
      <c r="H48" s="27"/>
    </row>
    <row r="49" spans="3:8" x14ac:dyDescent="0.25">
      <c r="C49" s="28" t="s">
        <v>135</v>
      </c>
      <c r="D49" s="33">
        <f>+D38-D48</f>
        <v>121.95294000000001</v>
      </c>
      <c r="E49" s="28"/>
      <c r="G49" s="29"/>
    </row>
    <row r="50" spans="3:8" x14ac:dyDescent="0.25">
      <c r="F50" s="29"/>
    </row>
    <row r="51" spans="3:8" x14ac:dyDescent="0.25">
      <c r="C51" s="28" t="s">
        <v>137</v>
      </c>
      <c r="D51" s="33">
        <f>+(E41/8)+((E42*8*10)/8)</f>
        <v>1043.4663175000001</v>
      </c>
      <c r="E51" s="30">
        <f>+D51*$C$1</f>
        <v>37724.740328994943</v>
      </c>
      <c r="F51" s="29"/>
    </row>
    <row r="52" spans="3:8" x14ac:dyDescent="0.25">
      <c r="C52" s="28" t="s">
        <v>139</v>
      </c>
      <c r="D52" s="33">
        <f>+(D51*2)-D48</f>
        <v>1589.7164750000002</v>
      </c>
      <c r="E52" s="30">
        <f t="shared" ref="E52:E58" si="0">+D52*$C$1</f>
        <v>57473.480657989887</v>
      </c>
    </row>
    <row r="53" spans="3:8" x14ac:dyDescent="0.25">
      <c r="C53" s="28" t="s">
        <v>140</v>
      </c>
      <c r="D53" s="33">
        <f>+(E41/6)+((E42*8*10)/6)+((17550/6)-(17550/8))/$C$1</f>
        <v>1411.5147983333334</v>
      </c>
      <c r="E53" s="30">
        <f t="shared" si="0"/>
        <v>51030.903771993253</v>
      </c>
      <c r="H53" s="66"/>
    </row>
    <row r="54" spans="3:8" x14ac:dyDescent="0.25">
      <c r="C54" s="28" t="s">
        <v>139</v>
      </c>
      <c r="D54" s="33">
        <f>+(D53*2)-D48</f>
        <v>2325.8134366666668</v>
      </c>
      <c r="E54" s="30">
        <f t="shared" si="0"/>
        <v>84085.807543986506</v>
      </c>
      <c r="F54" s="29"/>
      <c r="H54" s="66"/>
    </row>
    <row r="55" spans="3:8" x14ac:dyDescent="0.25">
      <c r="C55" s="28" t="s">
        <v>142</v>
      </c>
      <c r="D55" s="33">
        <f>+(E41/4)+((E42*6*10)/4)+((17550/4)-(17550/8))/$C$1</f>
        <v>1940.1117599999998</v>
      </c>
      <c r="E55" s="30">
        <f t="shared" si="0"/>
        <v>70141.422993492408</v>
      </c>
      <c r="F55" s="29"/>
      <c r="G55" s="29"/>
    </row>
    <row r="56" spans="3:8" x14ac:dyDescent="0.25">
      <c r="C56" s="28" t="s">
        <v>139</v>
      </c>
      <c r="D56" s="33">
        <f>+(D55*2)-D48</f>
        <v>3383.0073599999996</v>
      </c>
      <c r="E56" s="30">
        <f t="shared" si="0"/>
        <v>122306.8459869848</v>
      </c>
      <c r="F56" s="29"/>
    </row>
    <row r="57" spans="3:8" x14ac:dyDescent="0.25">
      <c r="C57" s="28" t="s">
        <v>143</v>
      </c>
      <c r="D57" s="33">
        <f>+(E41/2)+((E42*4*10)/2)+((17550/2)-(17550/8))/$C$1</f>
        <v>3525.9026449999997</v>
      </c>
      <c r="E57" s="30">
        <f t="shared" si="0"/>
        <v>127472.98065798987</v>
      </c>
      <c r="G57" s="29"/>
    </row>
    <row r="58" spans="3:8" x14ac:dyDescent="0.25">
      <c r="C58" s="28" t="s">
        <v>139</v>
      </c>
      <c r="D58" s="33">
        <f>+(D57*2)-D48</f>
        <v>6554.5891299999994</v>
      </c>
      <c r="E58" s="30">
        <f t="shared" si="0"/>
        <v>236969.96131597974</v>
      </c>
      <c r="F58" s="2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84"/>
  <sheetViews>
    <sheetView workbookViewId="0">
      <selection activeCell="G68" sqref="G68"/>
    </sheetView>
  </sheetViews>
  <sheetFormatPr baseColWidth="10" defaultRowHeight="15" x14ac:dyDescent="0.25"/>
  <cols>
    <col min="1" max="1" width="8" bestFit="1" customWidth="1"/>
    <col min="2" max="2" width="9.85546875" bestFit="1" customWidth="1"/>
    <col min="3" max="3" width="74" bestFit="1" customWidth="1"/>
    <col min="4" max="4" width="13" bestFit="1" customWidth="1"/>
    <col min="5" max="5" width="9.5703125" bestFit="1" customWidth="1"/>
    <col min="6" max="6" width="23.5703125" bestFit="1" customWidth="1"/>
    <col min="8" max="8" width="14.42578125" bestFit="1" customWidth="1"/>
  </cols>
  <sheetData>
    <row r="1" spans="2:5" x14ac:dyDescent="0.25">
      <c r="C1">
        <f>+Feuil2!M12</f>
        <v>36.153289949385396</v>
      </c>
    </row>
    <row r="2" spans="2:5" x14ac:dyDescent="0.25">
      <c r="C2" s="31" t="s">
        <v>29</v>
      </c>
      <c r="D2">
        <f>+(E11+E15+E21+E25+E29+E32+E37+E40+E45+E46+E51+E52+E54+E55)/2*1.4</f>
        <v>0</v>
      </c>
    </row>
    <row r="3" spans="2:5" x14ac:dyDescent="0.25">
      <c r="C3" s="32" t="s">
        <v>244</v>
      </c>
      <c r="D3" s="32"/>
      <c r="E3" s="32"/>
    </row>
    <row r="4" spans="2:5" x14ac:dyDescent="0.25">
      <c r="B4" t="s">
        <v>30</v>
      </c>
      <c r="D4" t="s">
        <v>31</v>
      </c>
      <c r="E4" t="s">
        <v>32</v>
      </c>
    </row>
    <row r="5" spans="2:5" x14ac:dyDescent="0.25">
      <c r="C5" t="s">
        <v>33</v>
      </c>
      <c r="D5" s="29"/>
      <c r="E5" s="30">
        <v>0</v>
      </c>
    </row>
    <row r="6" spans="2:5" x14ac:dyDescent="0.25">
      <c r="C6" t="s">
        <v>35</v>
      </c>
      <c r="D6" s="29"/>
      <c r="E6" s="30">
        <v>0</v>
      </c>
    </row>
    <row r="7" spans="2:5" x14ac:dyDescent="0.25">
      <c r="C7" t="s">
        <v>36</v>
      </c>
      <c r="D7" s="29"/>
      <c r="E7" s="30">
        <v>0</v>
      </c>
    </row>
    <row r="8" spans="2:5" x14ac:dyDescent="0.25">
      <c r="C8" t="s">
        <v>37</v>
      </c>
      <c r="D8" s="29"/>
      <c r="E8" s="30">
        <v>0</v>
      </c>
    </row>
    <row r="9" spans="2:5" x14ac:dyDescent="0.25">
      <c r="B9" t="s">
        <v>34</v>
      </c>
      <c r="C9" t="s">
        <v>38</v>
      </c>
      <c r="E9" s="29">
        <v>2700</v>
      </c>
    </row>
    <row r="10" spans="2:5" x14ac:dyDescent="0.25">
      <c r="C10" t="s">
        <v>245</v>
      </c>
      <c r="D10" s="30">
        <v>1620</v>
      </c>
      <c r="E10" s="30">
        <v>0</v>
      </c>
    </row>
    <row r="11" spans="2:5" x14ac:dyDescent="0.25">
      <c r="C11" t="s">
        <v>43</v>
      </c>
      <c r="E11" s="29">
        <v>0</v>
      </c>
    </row>
    <row r="12" spans="2:5" x14ac:dyDescent="0.25">
      <c r="C12" t="s">
        <v>266</v>
      </c>
      <c r="D12" s="30">
        <v>500</v>
      </c>
      <c r="E12" s="30">
        <v>0</v>
      </c>
    </row>
    <row r="13" spans="2:5" x14ac:dyDescent="0.25">
      <c r="C13" t="s">
        <v>53</v>
      </c>
      <c r="D13" s="29">
        <v>100</v>
      </c>
      <c r="E13" s="29">
        <v>0</v>
      </c>
    </row>
    <row r="14" spans="2:5" x14ac:dyDescent="0.25">
      <c r="C14" t="s">
        <v>58</v>
      </c>
      <c r="D14" s="29">
        <v>50</v>
      </c>
      <c r="E14" s="29">
        <v>0</v>
      </c>
    </row>
    <row r="15" spans="2:5" x14ac:dyDescent="0.25">
      <c r="C15" t="s">
        <v>44</v>
      </c>
      <c r="D15" s="30"/>
      <c r="E15" s="30">
        <v>0</v>
      </c>
    </row>
    <row r="16" spans="2:5" x14ac:dyDescent="0.25">
      <c r="B16" t="s">
        <v>40</v>
      </c>
      <c r="C16" t="s">
        <v>267</v>
      </c>
      <c r="D16" s="30">
        <v>0</v>
      </c>
      <c r="E16" s="30">
        <v>3500</v>
      </c>
    </row>
    <row r="17" spans="2:5" x14ac:dyDescent="0.25">
      <c r="C17" t="s">
        <v>268</v>
      </c>
      <c r="D17" s="30">
        <v>150</v>
      </c>
      <c r="E17" s="30"/>
    </row>
    <row r="18" spans="2:5" x14ac:dyDescent="0.25">
      <c r="C18" t="s">
        <v>269</v>
      </c>
      <c r="D18" s="30">
        <v>150</v>
      </c>
      <c r="E18" s="30"/>
    </row>
    <row r="19" spans="2:5" x14ac:dyDescent="0.25">
      <c r="C19" t="s">
        <v>270</v>
      </c>
      <c r="D19" s="29">
        <v>200</v>
      </c>
      <c r="E19" s="30">
        <v>0</v>
      </c>
    </row>
    <row r="20" spans="2:5" x14ac:dyDescent="0.25">
      <c r="C20" t="s">
        <v>271</v>
      </c>
      <c r="D20" s="29">
        <v>150</v>
      </c>
      <c r="E20" s="30"/>
    </row>
    <row r="21" spans="2:5" x14ac:dyDescent="0.25">
      <c r="C21" t="s">
        <v>56</v>
      </c>
      <c r="D21" s="29"/>
      <c r="E21" s="30">
        <v>0</v>
      </c>
    </row>
    <row r="22" spans="2:5" x14ac:dyDescent="0.25">
      <c r="C22" t="s">
        <v>245</v>
      </c>
      <c r="D22" s="30">
        <v>1620</v>
      </c>
      <c r="E22" s="30">
        <v>0</v>
      </c>
    </row>
    <row r="23" spans="2:5" x14ac:dyDescent="0.25">
      <c r="B23" t="s">
        <v>66</v>
      </c>
      <c r="C23" t="s">
        <v>80</v>
      </c>
      <c r="D23" s="30"/>
      <c r="E23" s="30"/>
    </row>
    <row r="24" spans="2:5" x14ac:dyDescent="0.25">
      <c r="C24" t="s">
        <v>45</v>
      </c>
      <c r="D24" s="30"/>
      <c r="E24" s="30">
        <v>3500</v>
      </c>
    </row>
    <row r="25" spans="2:5" x14ac:dyDescent="0.25">
      <c r="C25" t="s">
        <v>83</v>
      </c>
      <c r="D25" s="30"/>
      <c r="E25" s="30">
        <v>0</v>
      </c>
    </row>
    <row r="26" spans="2:5" x14ac:dyDescent="0.25">
      <c r="C26" s="27" t="s">
        <v>82</v>
      </c>
      <c r="D26" s="29">
        <v>100</v>
      </c>
      <c r="E26" s="29">
        <v>0</v>
      </c>
    </row>
    <row r="27" spans="2:5" x14ac:dyDescent="0.25">
      <c r="C27" s="27" t="s">
        <v>272</v>
      </c>
      <c r="D27" s="29"/>
      <c r="E27" s="29"/>
    </row>
    <row r="28" spans="2:5" x14ac:dyDescent="0.25">
      <c r="C28" t="s">
        <v>99</v>
      </c>
      <c r="D28">
        <v>1625</v>
      </c>
      <c r="E28" s="29">
        <v>0</v>
      </c>
    </row>
    <row r="29" spans="2:5" x14ac:dyDescent="0.25">
      <c r="C29" t="s">
        <v>56</v>
      </c>
      <c r="E29" s="29">
        <v>0</v>
      </c>
    </row>
    <row r="30" spans="2:5" x14ac:dyDescent="0.25">
      <c r="B30" t="s">
        <v>78</v>
      </c>
      <c r="C30" s="27" t="s">
        <v>50</v>
      </c>
      <c r="D30">
        <v>200</v>
      </c>
      <c r="E30">
        <v>0</v>
      </c>
    </row>
    <row r="31" spans="2:5" x14ac:dyDescent="0.25">
      <c r="C31" s="27" t="s">
        <v>55</v>
      </c>
      <c r="D31">
        <v>200</v>
      </c>
      <c r="E31" s="29">
        <v>200</v>
      </c>
    </row>
    <row r="32" spans="2:5" x14ac:dyDescent="0.25">
      <c r="C32" s="27" t="s">
        <v>59</v>
      </c>
      <c r="E32" s="29">
        <v>0</v>
      </c>
    </row>
    <row r="33" spans="2:5" x14ac:dyDescent="0.25">
      <c r="C33" s="27" t="s">
        <v>62</v>
      </c>
      <c r="D33">
        <v>4950</v>
      </c>
      <c r="E33" s="29">
        <v>4950</v>
      </c>
    </row>
    <row r="34" spans="2:5" x14ac:dyDescent="0.25">
      <c r="C34" t="s">
        <v>45</v>
      </c>
      <c r="D34" s="30"/>
      <c r="E34" s="30">
        <v>3500</v>
      </c>
    </row>
    <row r="35" spans="2:5" x14ac:dyDescent="0.25">
      <c r="B35" t="s">
        <v>87</v>
      </c>
      <c r="C35" t="s">
        <v>69</v>
      </c>
      <c r="D35" s="29">
        <v>300</v>
      </c>
      <c r="E35" s="29">
        <v>150</v>
      </c>
    </row>
    <row r="36" spans="2:5" x14ac:dyDescent="0.25">
      <c r="C36" t="s">
        <v>72</v>
      </c>
      <c r="D36" s="30"/>
      <c r="E36" s="30"/>
    </row>
    <row r="37" spans="2:5" x14ac:dyDescent="0.25">
      <c r="C37" t="s">
        <v>73</v>
      </c>
      <c r="D37" s="30"/>
      <c r="E37" s="30">
        <v>0</v>
      </c>
    </row>
    <row r="38" spans="2:5" x14ac:dyDescent="0.25">
      <c r="C38" t="s">
        <v>75</v>
      </c>
    </row>
    <row r="39" spans="2:5" x14ac:dyDescent="0.25">
      <c r="C39" t="s">
        <v>76</v>
      </c>
      <c r="E39" s="30">
        <v>0</v>
      </c>
    </row>
    <row r="40" spans="2:5" x14ac:dyDescent="0.25">
      <c r="C40" t="s">
        <v>77</v>
      </c>
      <c r="E40" s="30">
        <v>0</v>
      </c>
    </row>
    <row r="41" spans="2:5" x14ac:dyDescent="0.25">
      <c r="C41" t="s">
        <v>79</v>
      </c>
      <c r="D41">
        <v>6500</v>
      </c>
      <c r="E41" s="30">
        <v>0</v>
      </c>
    </row>
    <row r="42" spans="2:5" x14ac:dyDescent="0.25">
      <c r="C42" t="s">
        <v>45</v>
      </c>
      <c r="D42" s="30"/>
      <c r="E42" s="30">
        <v>3500</v>
      </c>
    </row>
    <row r="43" spans="2:5" x14ac:dyDescent="0.25">
      <c r="B43" t="s">
        <v>94</v>
      </c>
      <c r="C43" t="s">
        <v>273</v>
      </c>
    </row>
    <row r="44" spans="2:5" x14ac:dyDescent="0.25">
      <c r="C44" t="s">
        <v>76</v>
      </c>
      <c r="E44" s="30">
        <v>0</v>
      </c>
    </row>
    <row r="45" spans="2:5" x14ac:dyDescent="0.25">
      <c r="C45" t="s">
        <v>84</v>
      </c>
      <c r="E45" s="30">
        <v>0</v>
      </c>
    </row>
    <row r="46" spans="2:5" x14ac:dyDescent="0.25">
      <c r="C46" t="s">
        <v>77</v>
      </c>
      <c r="E46" s="30">
        <v>0</v>
      </c>
    </row>
    <row r="47" spans="2:5" x14ac:dyDescent="0.25">
      <c r="B47" t="s">
        <v>102</v>
      </c>
      <c r="C47" t="s">
        <v>274</v>
      </c>
      <c r="D47" s="29"/>
      <c r="E47" s="30"/>
    </row>
    <row r="48" spans="2:5" x14ac:dyDescent="0.25">
      <c r="C48" t="s">
        <v>45</v>
      </c>
      <c r="D48" s="30"/>
      <c r="E48" s="30">
        <v>3500</v>
      </c>
    </row>
    <row r="49" spans="2:12" x14ac:dyDescent="0.25">
      <c r="C49" t="s">
        <v>275</v>
      </c>
      <c r="D49" s="29">
        <v>1550</v>
      </c>
      <c r="E49" s="30">
        <v>1550</v>
      </c>
    </row>
    <row r="50" spans="2:12" x14ac:dyDescent="0.25">
      <c r="C50" t="s">
        <v>276</v>
      </c>
      <c r="D50" s="29"/>
      <c r="E50" s="30"/>
    </row>
    <row r="51" spans="2:12" x14ac:dyDescent="0.25">
      <c r="C51" t="s">
        <v>81</v>
      </c>
      <c r="D51" s="29"/>
      <c r="E51" s="30">
        <v>0</v>
      </c>
    </row>
    <row r="52" spans="2:12" x14ac:dyDescent="0.25">
      <c r="C52" t="s">
        <v>128</v>
      </c>
      <c r="D52" s="30"/>
      <c r="E52" s="30">
        <v>0</v>
      </c>
    </row>
    <row r="53" spans="2:12" x14ac:dyDescent="0.25">
      <c r="C53" t="s">
        <v>249</v>
      </c>
      <c r="D53" s="30">
        <v>2100</v>
      </c>
      <c r="E53" s="30">
        <v>0</v>
      </c>
    </row>
    <row r="54" spans="2:12" x14ac:dyDescent="0.25">
      <c r="B54" t="s">
        <v>277</v>
      </c>
      <c r="C54" t="s">
        <v>114</v>
      </c>
      <c r="D54" s="30"/>
      <c r="E54" s="30">
        <v>0</v>
      </c>
    </row>
    <row r="55" spans="2:12" x14ac:dyDescent="0.25">
      <c r="C55" t="s">
        <v>251</v>
      </c>
      <c r="D55" s="30"/>
      <c r="E55" s="30">
        <v>0</v>
      </c>
    </row>
    <row r="56" spans="2:12" x14ac:dyDescent="0.25">
      <c r="C56" t="s">
        <v>278</v>
      </c>
      <c r="D56" s="30">
        <f>2100*5</f>
        <v>10500</v>
      </c>
      <c r="E56" s="30">
        <v>0</v>
      </c>
    </row>
    <row r="57" spans="2:12" x14ac:dyDescent="0.25">
      <c r="B57" t="s">
        <v>131</v>
      </c>
      <c r="C57" t="s">
        <v>252</v>
      </c>
      <c r="D57" s="30">
        <v>1400</v>
      </c>
      <c r="E57" s="30">
        <v>1400</v>
      </c>
    </row>
    <row r="58" spans="2:12" x14ac:dyDescent="0.25">
      <c r="C58" t="s">
        <v>253</v>
      </c>
      <c r="D58" s="30">
        <v>200</v>
      </c>
      <c r="E58" s="30"/>
    </row>
    <row r="59" spans="2:12" x14ac:dyDescent="0.25">
      <c r="C59" s="27" t="s">
        <v>136</v>
      </c>
      <c r="E59" s="29">
        <v>0</v>
      </c>
    </row>
    <row r="60" spans="2:12" x14ac:dyDescent="0.25">
      <c r="C60" t="s">
        <v>37</v>
      </c>
      <c r="D60" s="29"/>
      <c r="E60" s="30">
        <v>0</v>
      </c>
    </row>
    <row r="61" spans="2:12" x14ac:dyDescent="0.25">
      <c r="C61" t="s">
        <v>119</v>
      </c>
      <c r="E61" s="29">
        <f>13*3500</f>
        <v>45500</v>
      </c>
    </row>
    <row r="62" spans="2:12" x14ac:dyDescent="0.25">
      <c r="C62" s="27" t="s">
        <v>146</v>
      </c>
      <c r="D62" s="29"/>
      <c r="E62" s="29">
        <v>0</v>
      </c>
    </row>
    <row r="63" spans="2:12" x14ac:dyDescent="0.25">
      <c r="E63" s="29"/>
      <c r="H63" t="s">
        <v>255</v>
      </c>
      <c r="I63" s="34">
        <f>+G65</f>
        <v>1300</v>
      </c>
      <c r="J63">
        <v>1700</v>
      </c>
      <c r="K63">
        <v>2000</v>
      </c>
      <c r="L63">
        <v>2200</v>
      </c>
    </row>
    <row r="64" spans="2:12" x14ac:dyDescent="0.25">
      <c r="C64" s="28" t="s">
        <v>122</v>
      </c>
      <c r="D64" s="33">
        <f>SUM(D5:D63)/$C$1</f>
        <v>945.00389999999993</v>
      </c>
      <c r="E64" s="33">
        <f>SUM(E5:E63)/$C$1</f>
        <v>2045.4569999999999</v>
      </c>
      <c r="F64" t="s">
        <v>256</v>
      </c>
      <c r="G64" s="30">
        <f>+E64+D64+D64-D74</f>
        <v>3315.4658999999997</v>
      </c>
      <c r="H64" s="27"/>
      <c r="I64" s="31" t="s">
        <v>257</v>
      </c>
      <c r="J64" s="31" t="s">
        <v>258</v>
      </c>
      <c r="K64" s="31" t="s">
        <v>259</v>
      </c>
      <c r="L64" s="31" t="s">
        <v>260</v>
      </c>
    </row>
    <row r="65" spans="3:12" x14ac:dyDescent="0.25">
      <c r="F65" t="s">
        <v>261</v>
      </c>
      <c r="G65" s="30">
        <v>1300</v>
      </c>
      <c r="H65" s="27"/>
      <c r="I65" s="34">
        <f>+G69</f>
        <v>2307.7329499999996</v>
      </c>
      <c r="J65" s="34">
        <f>+((D64*4)+E64-(D74*2)+J63)/4</f>
        <v>1571.3686999999998</v>
      </c>
      <c r="K65" s="34">
        <f>+((D64*6)+E64-(D74*3)+K63)/6</f>
        <v>1309.2472833333334</v>
      </c>
      <c r="L65" s="34">
        <f>+((D64*8)+E64-(D74*4)+L63)/8</f>
        <v>1165.6865749999999</v>
      </c>
    </row>
    <row r="66" spans="3:12" x14ac:dyDescent="0.25">
      <c r="C66" s="28" t="s">
        <v>123</v>
      </c>
      <c r="D66" s="28"/>
      <c r="E66" s="33">
        <f>6000/$C$1/30*19</f>
        <v>105.10799999999999</v>
      </c>
      <c r="F66" t="s">
        <v>262</v>
      </c>
      <c r="G66" s="30">
        <f>+G65+G64</f>
        <v>4615.4658999999992</v>
      </c>
      <c r="H66" s="27" t="s">
        <v>279</v>
      </c>
      <c r="I66" s="34">
        <f>+I65-((((D33-D28)/$C$1)/2)+((E33-E28)/$C$1)/2)</f>
        <v>2193.2896999999998</v>
      </c>
      <c r="J66" s="34">
        <f>+J65-((((D33-D28)/$C$1)/2)+((E33-E28)/$C$1)/4)</f>
        <v>1491.1546999999998</v>
      </c>
      <c r="K66" s="34">
        <f>+K65-((((D33-D28)/$C$1)/2)+((E33-E28)/$C$1)/6)</f>
        <v>1240.4430333333335</v>
      </c>
      <c r="L66" s="34">
        <f>+L65-((((D33-D28)/$C$1)/2)+((D33-D28)/$C$1)/8)</f>
        <v>1108.2056375</v>
      </c>
    </row>
    <row r="67" spans="3:12" x14ac:dyDescent="0.25">
      <c r="C67" s="28" t="s">
        <v>124</v>
      </c>
      <c r="D67" s="28"/>
      <c r="E67" s="33">
        <f>+E66+E64+(D64*E69)</f>
        <v>7820.5884000000005</v>
      </c>
      <c r="F67" t="s">
        <v>263</v>
      </c>
      <c r="G67" s="65">
        <v>0</v>
      </c>
      <c r="H67" s="27"/>
    </row>
    <row r="68" spans="3:12" x14ac:dyDescent="0.25">
      <c r="C68" s="28" t="s">
        <v>126</v>
      </c>
      <c r="D68" s="28"/>
      <c r="E68" s="33">
        <v>41.5</v>
      </c>
      <c r="F68" t="s">
        <v>264</v>
      </c>
      <c r="G68" s="30">
        <f>+G67+G66</f>
        <v>4615.4658999999992</v>
      </c>
      <c r="H68" s="27"/>
    </row>
    <row r="69" spans="3:12" x14ac:dyDescent="0.25">
      <c r="C69" s="28" t="s">
        <v>127</v>
      </c>
      <c r="D69" s="33"/>
      <c r="E69" s="28">
        <v>6</v>
      </c>
      <c r="F69" t="s">
        <v>265</v>
      </c>
      <c r="G69" s="30">
        <f>+G68/2</f>
        <v>2307.7329499999996</v>
      </c>
      <c r="H69" s="30"/>
    </row>
    <row r="70" spans="3:12" x14ac:dyDescent="0.25">
      <c r="C70" s="28" t="s">
        <v>129</v>
      </c>
      <c r="D70" s="33"/>
      <c r="E70" s="33">
        <f>+E69*E68*11</f>
        <v>2739</v>
      </c>
      <c r="G70" s="30"/>
      <c r="H70" s="30"/>
    </row>
    <row r="71" spans="3:12" x14ac:dyDescent="0.25">
      <c r="C71" s="28" t="s">
        <v>130</v>
      </c>
      <c r="D71" s="33"/>
      <c r="E71" s="33">
        <f>+E70+E67</f>
        <v>10559.588400000001</v>
      </c>
      <c r="F71" s="27"/>
      <c r="G71" s="30"/>
      <c r="H71" s="30"/>
      <c r="I71" s="29"/>
    </row>
    <row r="72" spans="3:12" x14ac:dyDescent="0.25">
      <c r="C72" s="28" t="s">
        <v>132</v>
      </c>
      <c r="D72" s="33">
        <f>+E71/E69</f>
        <v>1759.9314000000002</v>
      </c>
      <c r="E72" s="28"/>
      <c r="F72" s="27"/>
      <c r="G72" s="30"/>
      <c r="H72" s="30"/>
    </row>
    <row r="73" spans="3:12" x14ac:dyDescent="0.25">
      <c r="C73" s="28" t="s">
        <v>133</v>
      </c>
      <c r="D73" s="33">
        <f>+(E71/E69*2)-D74</f>
        <v>2899.8639000000003</v>
      </c>
      <c r="E73" s="28"/>
      <c r="F73" s="27"/>
      <c r="G73" s="27"/>
      <c r="H73" s="30"/>
    </row>
    <row r="74" spans="3:12" x14ac:dyDescent="0.25">
      <c r="C74" s="28" t="s">
        <v>134</v>
      </c>
      <c r="D74" s="33">
        <f>+(+D56+D53+D33+D28+D22+D10)/$C$1</f>
        <v>619.99889999999994</v>
      </c>
      <c r="E74" s="28"/>
      <c r="G74" s="29"/>
      <c r="H74" s="27"/>
    </row>
    <row r="75" spans="3:12" x14ac:dyDescent="0.25">
      <c r="C75" s="28" t="s">
        <v>135</v>
      </c>
      <c r="D75" s="33">
        <f>+D64-D74</f>
        <v>325.005</v>
      </c>
      <c r="E75" s="28"/>
      <c r="G75" s="29"/>
    </row>
    <row r="76" spans="3:12" x14ac:dyDescent="0.25">
      <c r="F76" s="29"/>
    </row>
    <row r="77" spans="3:12" x14ac:dyDescent="0.25">
      <c r="C77" s="28" t="s">
        <v>137</v>
      </c>
      <c r="D77" s="33">
        <f>+(E67/8)+((E68*8*10)/8)</f>
        <v>1392.5735500000001</v>
      </c>
      <c r="E77" s="30">
        <f>+D77*$C$1</f>
        <v>50346.115328994943</v>
      </c>
      <c r="F77" s="29"/>
    </row>
    <row r="78" spans="3:12" x14ac:dyDescent="0.25">
      <c r="C78" s="28" t="s">
        <v>139</v>
      </c>
      <c r="D78" s="33">
        <f>+(D77*2)-D74</f>
        <v>2165.1482000000001</v>
      </c>
      <c r="E78" s="30">
        <f t="shared" ref="E78:E84" si="0">+D78*$C$1</f>
        <v>78277.230657989887</v>
      </c>
    </row>
    <row r="79" spans="3:12" x14ac:dyDescent="0.25">
      <c r="C79" s="28" t="s">
        <v>140</v>
      </c>
      <c r="D79" s="33">
        <f>+(E67/6)+((E68*8*10)/6)+((17550/6)-(17550/8))/$C$1</f>
        <v>1876.9911083333334</v>
      </c>
      <c r="E79" s="30">
        <f t="shared" si="0"/>
        <v>67859.403771993253</v>
      </c>
      <c r="H79" s="66"/>
    </row>
    <row r="80" spans="3:12" x14ac:dyDescent="0.25">
      <c r="C80" s="28" t="s">
        <v>139</v>
      </c>
      <c r="D80" s="33">
        <f>+(D79*2)-D74</f>
        <v>3133.9833166666667</v>
      </c>
      <c r="E80" s="30">
        <f t="shared" si="0"/>
        <v>113303.80754398651</v>
      </c>
      <c r="F80" s="29"/>
      <c r="H80" s="66"/>
    </row>
    <row r="81" spans="3:7" x14ac:dyDescent="0.25">
      <c r="C81" s="28" t="s">
        <v>142</v>
      </c>
      <c r="D81" s="33">
        <f>+(E67/4)+((E68*6*10)/4)+((17550/4)-(17550/8))/$C$1</f>
        <v>2638.3262250000002</v>
      </c>
      <c r="E81" s="30">
        <f t="shared" si="0"/>
        <v>95384.172993492422</v>
      </c>
      <c r="F81" s="29"/>
      <c r="G81" s="29"/>
    </row>
    <row r="82" spans="3:7" x14ac:dyDescent="0.25">
      <c r="C82" s="28" t="s">
        <v>139</v>
      </c>
      <c r="D82" s="33">
        <f>+(D81*2)-D74</f>
        <v>4656.6535500000009</v>
      </c>
      <c r="E82" s="30">
        <f t="shared" si="0"/>
        <v>168353.34598698484</v>
      </c>
      <c r="F82" s="29"/>
    </row>
    <row r="83" spans="3:7" x14ac:dyDescent="0.25">
      <c r="C83" s="28" t="s">
        <v>143</v>
      </c>
      <c r="D83" s="33">
        <f>+(E67/2)+((E68*4*10)/2)+((17550/2)-(17550/8))/$C$1</f>
        <v>4922.3315750000002</v>
      </c>
      <c r="E83" s="30">
        <f t="shared" si="0"/>
        <v>177958.48065798989</v>
      </c>
      <c r="G83" s="29"/>
    </row>
    <row r="84" spans="3:7" x14ac:dyDescent="0.25">
      <c r="C84" s="28" t="s">
        <v>139</v>
      </c>
      <c r="D84" s="33">
        <f>+(D83*2)-D74</f>
        <v>9224.6642499999998</v>
      </c>
      <c r="E84" s="30">
        <f t="shared" si="0"/>
        <v>333501.96131597977</v>
      </c>
      <c r="F84" s="2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95"/>
  <sheetViews>
    <sheetView workbookViewId="0">
      <selection activeCell="K78" sqref="K78"/>
    </sheetView>
  </sheetViews>
  <sheetFormatPr baseColWidth="10" defaultRowHeight="15" x14ac:dyDescent="0.25"/>
  <cols>
    <col min="1" max="1" width="8" bestFit="1" customWidth="1"/>
    <col min="2" max="2" width="9.85546875" bestFit="1" customWidth="1"/>
    <col min="3" max="3" width="74" bestFit="1" customWidth="1"/>
    <col min="4" max="4" width="13" bestFit="1" customWidth="1"/>
    <col min="5" max="5" width="9.5703125" bestFit="1" customWidth="1"/>
    <col min="6" max="6" width="23.5703125" bestFit="1" customWidth="1"/>
    <col min="8" max="8" width="14.42578125" bestFit="1" customWidth="1"/>
  </cols>
  <sheetData>
    <row r="1" spans="2:5" x14ac:dyDescent="0.25">
      <c r="C1">
        <f>+Feuil2!M12</f>
        <v>36.153289949385396</v>
      </c>
    </row>
    <row r="2" spans="2:5" x14ac:dyDescent="0.25">
      <c r="C2" s="31" t="s">
        <v>29</v>
      </c>
      <c r="D2">
        <f>+(E11+E15+E21+E25+E29+E32+E37+E40+E45+E46+E50+E52+E55+E58+E62+E63+E65+E66)/2*1.4</f>
        <v>0</v>
      </c>
    </row>
    <row r="3" spans="2:5" x14ac:dyDescent="0.25">
      <c r="C3" s="32" t="s">
        <v>244</v>
      </c>
      <c r="D3" s="32"/>
      <c r="E3" s="32"/>
    </row>
    <row r="4" spans="2:5" x14ac:dyDescent="0.25">
      <c r="B4" t="s">
        <v>30</v>
      </c>
      <c r="D4" t="s">
        <v>31</v>
      </c>
      <c r="E4" t="s">
        <v>32</v>
      </c>
    </row>
    <row r="5" spans="2:5" x14ac:dyDescent="0.25">
      <c r="C5" t="s">
        <v>33</v>
      </c>
      <c r="D5" s="29"/>
      <c r="E5" s="30">
        <v>0</v>
      </c>
    </row>
    <row r="6" spans="2:5" x14ac:dyDescent="0.25">
      <c r="C6" t="s">
        <v>35</v>
      </c>
      <c r="D6" s="29"/>
      <c r="E6" s="30">
        <v>0</v>
      </c>
    </row>
    <row r="7" spans="2:5" x14ac:dyDescent="0.25">
      <c r="C7" t="s">
        <v>36</v>
      </c>
      <c r="D7" s="29"/>
      <c r="E7" s="30">
        <v>0</v>
      </c>
    </row>
    <row r="8" spans="2:5" x14ac:dyDescent="0.25">
      <c r="C8" t="s">
        <v>37</v>
      </c>
      <c r="D8" s="29"/>
      <c r="E8" s="30">
        <v>0</v>
      </c>
    </row>
    <row r="9" spans="2:5" x14ac:dyDescent="0.25">
      <c r="B9" t="s">
        <v>34</v>
      </c>
      <c r="C9" t="s">
        <v>38</v>
      </c>
      <c r="E9" s="29">
        <v>2700</v>
      </c>
    </row>
    <row r="10" spans="2:5" x14ac:dyDescent="0.25">
      <c r="C10" t="s">
        <v>245</v>
      </c>
      <c r="D10" s="30">
        <v>1620</v>
      </c>
      <c r="E10" s="30">
        <v>0</v>
      </c>
    </row>
    <row r="11" spans="2:5" x14ac:dyDescent="0.25">
      <c r="C11" t="s">
        <v>43</v>
      </c>
      <c r="E11" s="29">
        <v>0</v>
      </c>
    </row>
    <row r="12" spans="2:5" x14ac:dyDescent="0.25">
      <c r="C12" t="s">
        <v>266</v>
      </c>
      <c r="D12" s="30">
        <v>500</v>
      </c>
      <c r="E12" s="30">
        <v>0</v>
      </c>
    </row>
    <row r="13" spans="2:5" x14ac:dyDescent="0.25">
      <c r="C13" t="s">
        <v>53</v>
      </c>
      <c r="D13" s="29">
        <v>100</v>
      </c>
      <c r="E13" s="29">
        <v>0</v>
      </c>
    </row>
    <row r="14" spans="2:5" x14ac:dyDescent="0.25">
      <c r="C14" t="s">
        <v>58</v>
      </c>
      <c r="D14" s="29">
        <v>50</v>
      </c>
      <c r="E14" s="29">
        <v>0</v>
      </c>
    </row>
    <row r="15" spans="2:5" x14ac:dyDescent="0.25">
      <c r="C15" t="s">
        <v>44</v>
      </c>
      <c r="D15" s="30"/>
      <c r="E15" s="30">
        <v>0</v>
      </c>
    </row>
    <row r="16" spans="2:5" x14ac:dyDescent="0.25">
      <c r="B16" t="s">
        <v>40</v>
      </c>
      <c r="C16" t="s">
        <v>267</v>
      </c>
      <c r="D16" s="30">
        <v>0</v>
      </c>
      <c r="E16" s="30">
        <v>3500</v>
      </c>
    </row>
    <row r="17" spans="2:5" x14ac:dyDescent="0.25">
      <c r="C17" t="s">
        <v>268</v>
      </c>
      <c r="D17" s="30">
        <v>150</v>
      </c>
      <c r="E17" s="30"/>
    </row>
    <row r="18" spans="2:5" x14ac:dyDescent="0.25">
      <c r="C18" t="s">
        <v>269</v>
      </c>
      <c r="D18" s="30">
        <v>150</v>
      </c>
      <c r="E18" s="30"/>
    </row>
    <row r="19" spans="2:5" x14ac:dyDescent="0.25">
      <c r="C19" t="s">
        <v>270</v>
      </c>
      <c r="D19" s="29">
        <v>200</v>
      </c>
      <c r="E19" s="30">
        <v>0</v>
      </c>
    </row>
    <row r="20" spans="2:5" x14ac:dyDescent="0.25">
      <c r="C20" t="s">
        <v>271</v>
      </c>
      <c r="D20" s="29">
        <v>150</v>
      </c>
      <c r="E20" s="30"/>
    </row>
    <row r="21" spans="2:5" x14ac:dyDescent="0.25">
      <c r="C21" t="s">
        <v>56</v>
      </c>
      <c r="D21" s="29"/>
      <c r="E21" s="30">
        <v>0</v>
      </c>
    </row>
    <row r="22" spans="2:5" x14ac:dyDescent="0.25">
      <c r="C22" t="s">
        <v>245</v>
      </c>
      <c r="D22" s="30">
        <v>1620</v>
      </c>
      <c r="E22" s="30">
        <v>0</v>
      </c>
    </row>
    <row r="23" spans="2:5" x14ac:dyDescent="0.25">
      <c r="B23" t="s">
        <v>66</v>
      </c>
      <c r="C23" t="s">
        <v>80</v>
      </c>
      <c r="D23" s="30"/>
      <c r="E23" s="30"/>
    </row>
    <row r="24" spans="2:5" x14ac:dyDescent="0.25">
      <c r="C24" t="s">
        <v>45</v>
      </c>
      <c r="D24" s="30"/>
      <c r="E24" s="30">
        <v>3500</v>
      </c>
    </row>
    <row r="25" spans="2:5" x14ac:dyDescent="0.25">
      <c r="C25" t="s">
        <v>83</v>
      </c>
      <c r="D25" s="30"/>
      <c r="E25" s="30">
        <v>0</v>
      </c>
    </row>
    <row r="26" spans="2:5" x14ac:dyDescent="0.25">
      <c r="C26" s="27" t="s">
        <v>82</v>
      </c>
      <c r="D26" s="29">
        <v>100</v>
      </c>
      <c r="E26" s="29">
        <v>0</v>
      </c>
    </row>
    <row r="27" spans="2:5" x14ac:dyDescent="0.25">
      <c r="C27" s="27" t="s">
        <v>272</v>
      </c>
      <c r="D27" s="29"/>
      <c r="E27" s="29"/>
    </row>
    <row r="28" spans="2:5" x14ac:dyDescent="0.25">
      <c r="C28" t="s">
        <v>99</v>
      </c>
      <c r="D28">
        <v>1625</v>
      </c>
      <c r="E28" s="29">
        <v>0</v>
      </c>
    </row>
    <row r="29" spans="2:5" x14ac:dyDescent="0.25">
      <c r="C29" t="s">
        <v>56</v>
      </c>
      <c r="E29" s="29">
        <v>0</v>
      </c>
    </row>
    <row r="30" spans="2:5" x14ac:dyDescent="0.25">
      <c r="B30" t="s">
        <v>78</v>
      </c>
      <c r="C30" s="27" t="s">
        <v>50</v>
      </c>
      <c r="D30">
        <v>200</v>
      </c>
      <c r="E30">
        <v>0</v>
      </c>
    </row>
    <row r="31" spans="2:5" x14ac:dyDescent="0.25">
      <c r="C31" s="27" t="s">
        <v>55</v>
      </c>
      <c r="D31">
        <v>200</v>
      </c>
      <c r="E31" s="29">
        <v>200</v>
      </c>
    </row>
    <row r="32" spans="2:5" x14ac:dyDescent="0.25">
      <c r="C32" s="27" t="s">
        <v>59</v>
      </c>
      <c r="E32" s="29">
        <v>0</v>
      </c>
    </row>
    <row r="33" spans="2:5" x14ac:dyDescent="0.25">
      <c r="C33" s="27" t="s">
        <v>62</v>
      </c>
      <c r="D33">
        <v>4950</v>
      </c>
      <c r="E33" s="29">
        <v>4950</v>
      </c>
    </row>
    <row r="34" spans="2:5" x14ac:dyDescent="0.25">
      <c r="C34" t="s">
        <v>45</v>
      </c>
      <c r="D34" s="30"/>
      <c r="E34" s="30">
        <v>3500</v>
      </c>
    </row>
    <row r="35" spans="2:5" x14ac:dyDescent="0.25">
      <c r="B35" t="s">
        <v>87</v>
      </c>
      <c r="C35" t="s">
        <v>69</v>
      </c>
      <c r="D35" s="29">
        <v>300</v>
      </c>
      <c r="E35" s="29">
        <v>150</v>
      </c>
    </row>
    <row r="36" spans="2:5" x14ac:dyDescent="0.25">
      <c r="C36" t="s">
        <v>72</v>
      </c>
      <c r="D36" s="30"/>
      <c r="E36" s="30"/>
    </row>
    <row r="37" spans="2:5" x14ac:dyDescent="0.25">
      <c r="C37" t="s">
        <v>73</v>
      </c>
      <c r="D37" s="30"/>
      <c r="E37" s="30">
        <v>0</v>
      </c>
    </row>
    <row r="38" spans="2:5" x14ac:dyDescent="0.25">
      <c r="C38" t="s">
        <v>75</v>
      </c>
    </row>
    <row r="39" spans="2:5" x14ac:dyDescent="0.25">
      <c r="C39" t="s">
        <v>76</v>
      </c>
      <c r="E39" s="30">
        <v>0</v>
      </c>
    </row>
    <row r="40" spans="2:5" x14ac:dyDescent="0.25">
      <c r="C40" t="s">
        <v>77</v>
      </c>
      <c r="E40" s="30">
        <v>0</v>
      </c>
    </row>
    <row r="41" spans="2:5" x14ac:dyDescent="0.25">
      <c r="C41" t="s">
        <v>79</v>
      </c>
      <c r="D41">
        <v>6500</v>
      </c>
      <c r="E41" s="30">
        <v>0</v>
      </c>
    </row>
    <row r="42" spans="2:5" x14ac:dyDescent="0.25">
      <c r="C42" t="s">
        <v>45</v>
      </c>
      <c r="D42" s="30"/>
      <c r="E42" s="30">
        <v>3500</v>
      </c>
    </row>
    <row r="43" spans="2:5" x14ac:dyDescent="0.25">
      <c r="B43" t="s">
        <v>94</v>
      </c>
      <c r="C43" t="s">
        <v>273</v>
      </c>
    </row>
    <row r="44" spans="2:5" x14ac:dyDescent="0.25">
      <c r="C44" t="s">
        <v>76</v>
      </c>
      <c r="E44" s="30">
        <v>0</v>
      </c>
    </row>
    <row r="45" spans="2:5" x14ac:dyDescent="0.25">
      <c r="C45" t="s">
        <v>84</v>
      </c>
      <c r="E45" s="30">
        <v>0</v>
      </c>
    </row>
    <row r="46" spans="2:5" x14ac:dyDescent="0.25">
      <c r="C46" t="s">
        <v>77</v>
      </c>
      <c r="E46" s="30">
        <v>0</v>
      </c>
    </row>
    <row r="47" spans="2:5" x14ac:dyDescent="0.25">
      <c r="B47" t="s">
        <v>102</v>
      </c>
      <c r="C47" s="27" t="s">
        <v>280</v>
      </c>
      <c r="E47" s="29">
        <v>3500</v>
      </c>
    </row>
    <row r="48" spans="2:5" x14ac:dyDescent="0.25">
      <c r="C48" s="27" t="s">
        <v>147</v>
      </c>
      <c r="D48">
        <v>1350</v>
      </c>
      <c r="E48" s="29">
        <v>1350</v>
      </c>
    </row>
    <row r="49" spans="2:6" x14ac:dyDescent="0.25">
      <c r="C49" s="27" t="s">
        <v>281</v>
      </c>
      <c r="D49" s="29"/>
      <c r="E49" s="29">
        <v>1800</v>
      </c>
    </row>
    <row r="50" spans="2:6" x14ac:dyDescent="0.25">
      <c r="C50" s="27" t="s">
        <v>282</v>
      </c>
      <c r="D50" s="29"/>
      <c r="E50" s="29">
        <v>0</v>
      </c>
    </row>
    <row r="51" spans="2:6" x14ac:dyDescent="0.25">
      <c r="C51" s="27" t="s">
        <v>108</v>
      </c>
      <c r="D51" s="29">
        <v>1200</v>
      </c>
      <c r="E51" s="29">
        <v>0</v>
      </c>
    </row>
    <row r="52" spans="2:6" x14ac:dyDescent="0.25">
      <c r="C52" s="27" t="s">
        <v>56</v>
      </c>
      <c r="D52" s="29"/>
      <c r="E52" s="29">
        <v>0</v>
      </c>
    </row>
    <row r="53" spans="2:6" x14ac:dyDescent="0.25">
      <c r="B53" t="s">
        <v>106</v>
      </c>
      <c r="C53" s="27" t="s">
        <v>111</v>
      </c>
      <c r="D53" s="29">
        <v>1200</v>
      </c>
      <c r="E53" s="29">
        <v>0</v>
      </c>
      <c r="F53" s="29" t="s">
        <v>112</v>
      </c>
    </row>
    <row r="54" spans="2:6" x14ac:dyDescent="0.25">
      <c r="C54" s="27" t="s">
        <v>113</v>
      </c>
      <c r="D54" s="29">
        <v>300</v>
      </c>
      <c r="E54" s="29">
        <v>0</v>
      </c>
      <c r="F54" s="29"/>
    </row>
    <row r="55" spans="2:6" x14ac:dyDescent="0.25">
      <c r="C55" s="27" t="s">
        <v>115</v>
      </c>
      <c r="D55" s="29"/>
      <c r="E55" s="29">
        <v>0</v>
      </c>
      <c r="F55" s="29"/>
    </row>
    <row r="56" spans="2:6" x14ac:dyDescent="0.25">
      <c r="C56" s="27" t="s">
        <v>108</v>
      </c>
      <c r="D56" s="29">
        <v>1200</v>
      </c>
      <c r="E56" s="29">
        <v>0</v>
      </c>
      <c r="F56" s="29" t="s">
        <v>109</v>
      </c>
    </row>
    <row r="57" spans="2:6" x14ac:dyDescent="0.25">
      <c r="B57" t="s">
        <v>110</v>
      </c>
      <c r="C57" s="27" t="s">
        <v>117</v>
      </c>
      <c r="D57" s="29">
        <v>1500</v>
      </c>
      <c r="E57" s="29">
        <v>1500</v>
      </c>
      <c r="F57" s="29" t="s">
        <v>118</v>
      </c>
    </row>
    <row r="58" spans="2:6" x14ac:dyDescent="0.25">
      <c r="C58" s="27" t="s">
        <v>120</v>
      </c>
      <c r="D58" s="29"/>
      <c r="E58" s="29">
        <v>0</v>
      </c>
      <c r="F58" s="29"/>
    </row>
    <row r="59" spans="2:6" x14ac:dyDescent="0.25">
      <c r="C59" s="27" t="s">
        <v>108</v>
      </c>
      <c r="D59" s="29">
        <v>1200</v>
      </c>
      <c r="E59" s="29">
        <v>0</v>
      </c>
      <c r="F59" s="29" t="s">
        <v>109</v>
      </c>
    </row>
    <row r="60" spans="2:6" x14ac:dyDescent="0.25">
      <c r="B60" t="s">
        <v>116</v>
      </c>
      <c r="C60" s="27" t="s">
        <v>283</v>
      </c>
      <c r="E60" s="29">
        <v>3000</v>
      </c>
    </row>
    <row r="61" spans="2:6" x14ac:dyDescent="0.25">
      <c r="C61" s="27" t="s">
        <v>284</v>
      </c>
      <c r="D61" s="29">
        <v>450</v>
      </c>
      <c r="E61" s="30">
        <v>900</v>
      </c>
    </row>
    <row r="62" spans="2:6" x14ac:dyDescent="0.25">
      <c r="C62" t="s">
        <v>81</v>
      </c>
      <c r="D62" s="29"/>
      <c r="E62" s="30">
        <v>0</v>
      </c>
    </row>
    <row r="63" spans="2:6" x14ac:dyDescent="0.25">
      <c r="C63" t="s">
        <v>128</v>
      </c>
      <c r="D63" s="30"/>
      <c r="E63" s="30">
        <v>0</v>
      </c>
    </row>
    <row r="64" spans="2:6" x14ac:dyDescent="0.25">
      <c r="C64" t="s">
        <v>249</v>
      </c>
      <c r="D64" s="30">
        <v>2100</v>
      </c>
      <c r="E64" s="30">
        <v>0</v>
      </c>
    </row>
    <row r="65" spans="2:12" x14ac:dyDescent="0.25">
      <c r="B65" t="s">
        <v>285</v>
      </c>
      <c r="C65" t="s">
        <v>114</v>
      </c>
      <c r="D65" s="30"/>
      <c r="E65" s="30">
        <v>0</v>
      </c>
    </row>
    <row r="66" spans="2:12" x14ac:dyDescent="0.25">
      <c r="C66" t="s">
        <v>251</v>
      </c>
      <c r="D66" s="30"/>
      <c r="E66" s="30">
        <v>0</v>
      </c>
    </row>
    <row r="67" spans="2:12" x14ac:dyDescent="0.25">
      <c r="C67" t="s">
        <v>278</v>
      </c>
      <c r="D67" s="30">
        <f>2100*5</f>
        <v>10500</v>
      </c>
      <c r="E67" s="30">
        <v>0</v>
      </c>
    </row>
    <row r="68" spans="2:12" x14ac:dyDescent="0.25">
      <c r="B68" t="s">
        <v>144</v>
      </c>
      <c r="C68" t="s">
        <v>252</v>
      </c>
      <c r="D68" s="30">
        <v>1400</v>
      </c>
      <c r="E68" s="30">
        <v>1400</v>
      </c>
    </row>
    <row r="69" spans="2:12" x14ac:dyDescent="0.25">
      <c r="C69" t="s">
        <v>253</v>
      </c>
      <c r="D69" s="30">
        <v>200</v>
      </c>
      <c r="E69" s="30"/>
    </row>
    <row r="70" spans="2:12" x14ac:dyDescent="0.25">
      <c r="C70" s="27" t="s">
        <v>136</v>
      </c>
      <c r="E70" s="29">
        <v>0</v>
      </c>
    </row>
    <row r="71" spans="2:12" x14ac:dyDescent="0.25">
      <c r="C71" t="s">
        <v>37</v>
      </c>
      <c r="D71" s="29"/>
      <c r="E71" s="30">
        <v>0</v>
      </c>
    </row>
    <row r="72" spans="2:12" x14ac:dyDescent="0.25">
      <c r="C72" t="s">
        <v>119</v>
      </c>
      <c r="E72" s="29">
        <f>16*3500</f>
        <v>56000</v>
      </c>
    </row>
    <row r="73" spans="2:12" x14ac:dyDescent="0.25">
      <c r="C73" s="27" t="s">
        <v>146</v>
      </c>
      <c r="D73" s="29"/>
      <c r="E73" s="29">
        <v>0</v>
      </c>
    </row>
    <row r="74" spans="2:12" x14ac:dyDescent="0.25">
      <c r="E74" s="29"/>
      <c r="H74" t="s">
        <v>255</v>
      </c>
      <c r="I74" s="34">
        <f>+G76</f>
        <v>1600</v>
      </c>
      <c r="J74">
        <v>2000</v>
      </c>
      <c r="K74">
        <v>2400</v>
      </c>
      <c r="L74">
        <v>3200</v>
      </c>
    </row>
    <row r="75" spans="2:12" x14ac:dyDescent="0.25">
      <c r="C75" s="28" t="s">
        <v>122</v>
      </c>
      <c r="D75" s="33">
        <f>SUM(D5:D74)/$C$1</f>
        <v>1134.4748999999999</v>
      </c>
      <c r="E75" s="33">
        <f>SUM(E5:E74)/$C$1</f>
        <v>2529.5070000000001</v>
      </c>
      <c r="F75" t="s">
        <v>256</v>
      </c>
      <c r="G75" s="30">
        <f>+E75+D75+D75-D85</f>
        <v>4078.8818999999999</v>
      </c>
      <c r="H75" s="27"/>
      <c r="I75" s="31" t="s">
        <v>257</v>
      </c>
      <c r="J75" s="31" t="s">
        <v>258</v>
      </c>
      <c r="K75" s="31" t="s">
        <v>259</v>
      </c>
      <c r="L75" s="31" t="s">
        <v>260</v>
      </c>
    </row>
    <row r="76" spans="2:12" x14ac:dyDescent="0.25">
      <c r="F76" t="s">
        <v>261</v>
      </c>
      <c r="G76" s="30">
        <v>1600</v>
      </c>
      <c r="H76" s="27"/>
      <c r="I76" s="34">
        <f>+G80</f>
        <v>2839.4409500000002</v>
      </c>
      <c r="J76" s="34">
        <f>+((D75*4)+E75-(D85*2)+J74)/4</f>
        <v>1907.0642</v>
      </c>
      <c r="K76" s="34">
        <f>+((D75*6)+E75-(D85*3)+K74)/6</f>
        <v>1596.2719499999996</v>
      </c>
      <c r="L76" s="34">
        <f>+((D75*8)+E75-(D85*4)+L74)/8</f>
        <v>1490.8758249999998</v>
      </c>
    </row>
    <row r="77" spans="2:12" x14ac:dyDescent="0.25">
      <c r="C77" s="28" t="s">
        <v>123</v>
      </c>
      <c r="D77" s="28"/>
      <c r="E77" s="33">
        <f>6000/$C$1/30*19</f>
        <v>105.10799999999999</v>
      </c>
      <c r="F77" t="s">
        <v>262</v>
      </c>
      <c r="G77" s="30">
        <f>+G76+G75</f>
        <v>5678.8819000000003</v>
      </c>
      <c r="H77" s="27" t="s">
        <v>279</v>
      </c>
      <c r="I77" s="34">
        <f>+I76-((((D33-D28)/$C$1)/2)+((E33-E28)/$C$1)/2)</f>
        <v>2724.9977000000003</v>
      </c>
      <c r="J77" s="34">
        <f>+J76-((((D33-D28)/$C$1)/2)+((E33-E28)/$C$1)/4)</f>
        <v>1826.8502000000001</v>
      </c>
      <c r="K77" s="34">
        <f>+K76-((((D33-D28)/$C$1)/2)+((E33-E28)/$C$1)/6)</f>
        <v>1527.4676999999997</v>
      </c>
      <c r="L77" s="34">
        <f>+L76-((((D33-D28)/$C$1)/2)+((D33-D28)/$C$1)/8)</f>
        <v>1433.3948874999999</v>
      </c>
    </row>
    <row r="78" spans="2:12" x14ac:dyDescent="0.25">
      <c r="C78" s="28" t="s">
        <v>124</v>
      </c>
      <c r="D78" s="28"/>
      <c r="E78" s="33">
        <f>+E77+E75+(D75*E80)</f>
        <v>9441.4643999999989</v>
      </c>
      <c r="F78" t="s">
        <v>263</v>
      </c>
      <c r="G78" s="65">
        <v>0</v>
      </c>
      <c r="H78" s="27"/>
    </row>
    <row r="79" spans="2:12" x14ac:dyDescent="0.25">
      <c r="C79" s="28" t="s">
        <v>126</v>
      </c>
      <c r="D79" s="28"/>
      <c r="E79" s="33">
        <v>41.5</v>
      </c>
      <c r="F79" t="s">
        <v>264</v>
      </c>
      <c r="G79" s="30">
        <f>+G78+G77</f>
        <v>5678.8819000000003</v>
      </c>
      <c r="H79" s="27"/>
    </row>
    <row r="80" spans="2:12" x14ac:dyDescent="0.25">
      <c r="C80" s="28" t="s">
        <v>127</v>
      </c>
      <c r="D80" s="33"/>
      <c r="E80" s="28">
        <v>6</v>
      </c>
      <c r="F80" t="s">
        <v>265</v>
      </c>
      <c r="G80" s="30">
        <f>+G79/2</f>
        <v>2839.4409500000002</v>
      </c>
      <c r="H80" s="30"/>
    </row>
    <row r="81" spans="3:9" x14ac:dyDescent="0.25">
      <c r="C81" s="28" t="s">
        <v>129</v>
      </c>
      <c r="D81" s="33"/>
      <c r="E81" s="33">
        <f>+E80*E79*11</f>
        <v>2739</v>
      </c>
      <c r="G81" s="30"/>
      <c r="H81" s="30"/>
    </row>
    <row r="82" spans="3:9" x14ac:dyDescent="0.25">
      <c r="C82" s="28" t="s">
        <v>130</v>
      </c>
      <c r="D82" s="33"/>
      <c r="E82" s="33">
        <f>+E81+E78</f>
        <v>12180.464399999999</v>
      </c>
      <c r="F82" s="27"/>
      <c r="G82" s="30"/>
      <c r="H82" s="30"/>
      <c r="I82" s="29"/>
    </row>
    <row r="83" spans="3:9" x14ac:dyDescent="0.25">
      <c r="C83" s="28" t="s">
        <v>132</v>
      </c>
      <c r="D83" s="33">
        <f>+E82/E80</f>
        <v>2030.0773999999999</v>
      </c>
      <c r="E83" s="28"/>
      <c r="F83" s="27"/>
      <c r="G83" s="30"/>
      <c r="H83" s="30"/>
    </row>
    <row r="84" spans="3:9" x14ac:dyDescent="0.25">
      <c r="C84" s="28" t="s">
        <v>133</v>
      </c>
      <c r="D84" s="33">
        <f>+(E82/E80*2)-D85</f>
        <v>3340.5798999999997</v>
      </c>
      <c r="E84" s="28"/>
      <c r="F84" s="27"/>
      <c r="G84" s="27"/>
      <c r="H84" s="30"/>
    </row>
    <row r="85" spans="3:9" x14ac:dyDescent="0.25">
      <c r="C85" s="28" t="s">
        <v>134</v>
      </c>
      <c r="D85" s="33">
        <f>+(+D67+D64+D59+D56+D51+D33+D28+D22+D10)/$C$1</f>
        <v>719.57489999999996</v>
      </c>
      <c r="E85" s="28"/>
      <c r="G85" s="29"/>
      <c r="H85" s="27"/>
    </row>
    <row r="86" spans="3:9" x14ac:dyDescent="0.25">
      <c r="C86" s="28" t="s">
        <v>135</v>
      </c>
      <c r="D86" s="33">
        <f>+D75-D85</f>
        <v>414.9</v>
      </c>
      <c r="E86" s="28"/>
      <c r="G86" s="29"/>
    </row>
    <row r="87" spans="3:9" x14ac:dyDescent="0.25">
      <c r="F87" s="29"/>
    </row>
    <row r="88" spans="3:9" x14ac:dyDescent="0.25">
      <c r="C88" s="28" t="s">
        <v>137</v>
      </c>
      <c r="D88" s="33">
        <f>+(E78/8)+((E79*8*10)/8)</f>
        <v>1595.1830499999999</v>
      </c>
      <c r="E88" s="30">
        <f>+D88*$C$1</f>
        <v>57671.115328994936</v>
      </c>
      <c r="F88" s="29"/>
    </row>
    <row r="89" spans="3:9" x14ac:dyDescent="0.25">
      <c r="C89" s="28" t="s">
        <v>139</v>
      </c>
      <c r="D89" s="33">
        <f>+(D88*2)-D85</f>
        <v>2470.7911999999997</v>
      </c>
      <c r="E89" s="30">
        <f t="shared" ref="E89:E95" si="0">+D89*$C$1</f>
        <v>89327.230657989872</v>
      </c>
    </row>
    <row r="90" spans="3:9" x14ac:dyDescent="0.25">
      <c r="C90" s="28" t="s">
        <v>140</v>
      </c>
      <c r="D90" s="33">
        <f>+(E78/6)+((E79*8*10)/6)+((17550/6)-(17550/8))/$C$1</f>
        <v>2147.1371083333333</v>
      </c>
      <c r="E90" s="30">
        <f t="shared" si="0"/>
        <v>77626.070438659925</v>
      </c>
      <c r="H90" s="66"/>
    </row>
    <row r="91" spans="3:9" x14ac:dyDescent="0.25">
      <c r="C91" s="28" t="s">
        <v>139</v>
      </c>
      <c r="D91" s="33">
        <f>+(D90*2)-D85</f>
        <v>3574.6993166666666</v>
      </c>
      <c r="E91" s="30">
        <f t="shared" si="0"/>
        <v>129237.14087731983</v>
      </c>
      <c r="F91" s="29"/>
      <c r="H91" s="66"/>
    </row>
    <row r="92" spans="3:9" x14ac:dyDescent="0.25">
      <c r="C92" s="28" t="s">
        <v>142</v>
      </c>
      <c r="D92" s="33">
        <f>+(E78/4)+((E79*6*10)/4)+((17550/4)-(17550/8))/$C$1</f>
        <v>3043.5452249999998</v>
      </c>
      <c r="E92" s="30">
        <f t="shared" si="0"/>
        <v>110034.17299349241</v>
      </c>
      <c r="F92" s="29"/>
      <c r="G92" s="29"/>
    </row>
    <row r="93" spans="3:9" x14ac:dyDescent="0.25">
      <c r="C93" s="28" t="s">
        <v>139</v>
      </c>
      <c r="D93" s="33">
        <f>+(D92*2)-D85</f>
        <v>5367.5155500000001</v>
      </c>
      <c r="E93" s="30">
        <f t="shared" si="0"/>
        <v>194053.34598698482</v>
      </c>
      <c r="F93" s="29"/>
    </row>
    <row r="94" spans="3:9" x14ac:dyDescent="0.25">
      <c r="C94" s="28" t="s">
        <v>143</v>
      </c>
      <c r="D94" s="33">
        <f>+(E78/2)+((E79*4*10)/2)+((17550/2)-(17550/8))/$C$1</f>
        <v>5732.7695749999993</v>
      </c>
      <c r="E94" s="30">
        <f t="shared" si="0"/>
        <v>207258.48065798986</v>
      </c>
      <c r="G94" s="29"/>
    </row>
    <row r="95" spans="3:9" x14ac:dyDescent="0.25">
      <c r="C95" s="28" t="s">
        <v>139</v>
      </c>
      <c r="D95" s="33">
        <f>+(D94*2)-D85</f>
        <v>10745.964249999999</v>
      </c>
      <c r="E95" s="30">
        <f t="shared" si="0"/>
        <v>388501.96131597972</v>
      </c>
      <c r="F95" s="2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45"/>
  <sheetViews>
    <sheetView workbookViewId="0">
      <selection activeCell="G129" sqref="G129"/>
    </sheetView>
  </sheetViews>
  <sheetFormatPr baseColWidth="10" defaultRowHeight="15" x14ac:dyDescent="0.25"/>
  <cols>
    <col min="1" max="1" width="8" bestFit="1" customWidth="1"/>
    <col min="2" max="2" width="9.85546875" bestFit="1" customWidth="1"/>
    <col min="3" max="3" width="74" bestFit="1" customWidth="1"/>
    <col min="4" max="4" width="13" bestFit="1" customWidth="1"/>
    <col min="5" max="5" width="9.5703125" bestFit="1" customWidth="1"/>
    <col min="6" max="6" width="23.5703125" bestFit="1" customWidth="1"/>
    <col min="8" max="8" width="14.42578125" bestFit="1" customWidth="1"/>
  </cols>
  <sheetData>
    <row r="1" spans="2:5" x14ac:dyDescent="0.25">
      <c r="C1">
        <f>+Feuil2!M12</f>
        <v>36.153289949385396</v>
      </c>
    </row>
    <row r="2" spans="2:5" x14ac:dyDescent="0.25">
      <c r="C2" s="31" t="s">
        <v>29</v>
      </c>
      <c r="D2">
        <f>+(E11+E15+E21+E25+E29+E32+E37+E40+E45+E46+E49+E52+E55+E58+E64+E68+E73+E76+E84+E89+E93+E96+E100+E102+E105+E108+E112+E113+E115+E116)/2*1.4</f>
        <v>0</v>
      </c>
    </row>
    <row r="3" spans="2:5" x14ac:dyDescent="0.25">
      <c r="C3" s="32" t="s">
        <v>244</v>
      </c>
      <c r="D3" s="32"/>
      <c r="E3" s="32"/>
    </row>
    <row r="4" spans="2:5" x14ac:dyDescent="0.25">
      <c r="B4" t="s">
        <v>30</v>
      </c>
      <c r="D4" t="s">
        <v>31</v>
      </c>
      <c r="E4" t="s">
        <v>32</v>
      </c>
    </row>
    <row r="5" spans="2:5" x14ac:dyDescent="0.25">
      <c r="C5" t="s">
        <v>33</v>
      </c>
      <c r="D5" s="29"/>
      <c r="E5" s="30">
        <v>0</v>
      </c>
    </row>
    <row r="6" spans="2:5" x14ac:dyDescent="0.25">
      <c r="C6" t="s">
        <v>35</v>
      </c>
      <c r="D6" s="29"/>
      <c r="E6" s="30">
        <v>0</v>
      </c>
    </row>
    <row r="7" spans="2:5" x14ac:dyDescent="0.25">
      <c r="C7" t="s">
        <v>36</v>
      </c>
      <c r="D7" s="29"/>
      <c r="E7" s="30">
        <v>0</v>
      </c>
    </row>
    <row r="8" spans="2:5" x14ac:dyDescent="0.25">
      <c r="C8" t="s">
        <v>37</v>
      </c>
      <c r="D8" s="29"/>
      <c r="E8" s="30">
        <v>0</v>
      </c>
    </row>
    <row r="9" spans="2:5" x14ac:dyDescent="0.25">
      <c r="B9" t="s">
        <v>34</v>
      </c>
      <c r="C9" t="s">
        <v>38</v>
      </c>
      <c r="E9" s="29">
        <v>2700</v>
      </c>
    </row>
    <row r="10" spans="2:5" x14ac:dyDescent="0.25">
      <c r="C10" t="s">
        <v>245</v>
      </c>
      <c r="D10" s="30">
        <v>1620</v>
      </c>
      <c r="E10" s="30">
        <v>0</v>
      </c>
    </row>
    <row r="11" spans="2:5" x14ac:dyDescent="0.25">
      <c r="C11" t="s">
        <v>43</v>
      </c>
      <c r="E11" s="29">
        <v>0</v>
      </c>
    </row>
    <row r="12" spans="2:5" x14ac:dyDescent="0.25">
      <c r="C12" t="s">
        <v>266</v>
      </c>
      <c r="D12" s="30">
        <v>500</v>
      </c>
      <c r="E12" s="30">
        <v>0</v>
      </c>
    </row>
    <row r="13" spans="2:5" x14ac:dyDescent="0.25">
      <c r="C13" t="s">
        <v>53</v>
      </c>
      <c r="D13" s="29">
        <v>100</v>
      </c>
      <c r="E13" s="29">
        <v>0</v>
      </c>
    </row>
    <row r="14" spans="2:5" x14ac:dyDescent="0.25">
      <c r="C14" t="s">
        <v>58</v>
      </c>
      <c r="D14" s="29">
        <v>50</v>
      </c>
      <c r="E14" s="29">
        <v>0</v>
      </c>
    </row>
    <row r="15" spans="2:5" x14ac:dyDescent="0.25">
      <c r="C15" t="s">
        <v>44</v>
      </c>
      <c r="D15" s="30"/>
      <c r="E15" s="30">
        <v>0</v>
      </c>
    </row>
    <row r="16" spans="2:5" x14ac:dyDescent="0.25">
      <c r="B16" t="s">
        <v>40</v>
      </c>
      <c r="C16" t="s">
        <v>267</v>
      </c>
      <c r="D16" s="30">
        <v>0</v>
      </c>
      <c r="E16" s="30">
        <v>3500</v>
      </c>
    </row>
    <row r="17" spans="2:5" x14ac:dyDescent="0.25">
      <c r="C17" t="s">
        <v>268</v>
      </c>
      <c r="D17" s="30">
        <v>150</v>
      </c>
      <c r="E17" s="30"/>
    </row>
    <row r="18" spans="2:5" x14ac:dyDescent="0.25">
      <c r="C18" t="s">
        <v>269</v>
      </c>
      <c r="D18" s="30">
        <v>200</v>
      </c>
      <c r="E18" s="30"/>
    </row>
    <row r="19" spans="2:5" x14ac:dyDescent="0.25">
      <c r="C19" t="s">
        <v>270</v>
      </c>
      <c r="D19" s="29">
        <v>150</v>
      </c>
      <c r="E19" s="30">
        <v>0</v>
      </c>
    </row>
    <row r="20" spans="2:5" x14ac:dyDescent="0.25">
      <c r="C20" t="s">
        <v>271</v>
      </c>
      <c r="D20" s="29">
        <v>150</v>
      </c>
      <c r="E20" s="30"/>
    </row>
    <row r="21" spans="2:5" x14ac:dyDescent="0.25">
      <c r="C21" t="s">
        <v>56</v>
      </c>
      <c r="D21" s="29"/>
      <c r="E21" s="30">
        <v>0</v>
      </c>
    </row>
    <row r="22" spans="2:5" x14ac:dyDescent="0.25">
      <c r="C22" t="s">
        <v>245</v>
      </c>
      <c r="D22" s="30">
        <v>1620</v>
      </c>
      <c r="E22" s="30">
        <v>0</v>
      </c>
    </row>
    <row r="23" spans="2:5" x14ac:dyDescent="0.25">
      <c r="B23" t="s">
        <v>66</v>
      </c>
      <c r="C23" t="s">
        <v>80</v>
      </c>
      <c r="D23" s="30"/>
      <c r="E23" s="30"/>
    </row>
    <row r="24" spans="2:5" x14ac:dyDescent="0.25">
      <c r="C24" t="s">
        <v>45</v>
      </c>
      <c r="D24" s="30"/>
      <c r="E24" s="30">
        <v>3500</v>
      </c>
    </row>
    <row r="25" spans="2:5" x14ac:dyDescent="0.25">
      <c r="C25" t="s">
        <v>83</v>
      </c>
      <c r="D25" s="30"/>
      <c r="E25" s="30">
        <v>0</v>
      </c>
    </row>
    <row r="26" spans="2:5" x14ac:dyDescent="0.25">
      <c r="C26" s="27" t="s">
        <v>82</v>
      </c>
      <c r="D26" s="29">
        <v>100</v>
      </c>
      <c r="E26" s="29">
        <v>0</v>
      </c>
    </row>
    <row r="27" spans="2:5" x14ac:dyDescent="0.25">
      <c r="C27" s="27" t="s">
        <v>272</v>
      </c>
      <c r="D27" s="29"/>
      <c r="E27" s="29"/>
    </row>
    <row r="28" spans="2:5" x14ac:dyDescent="0.25">
      <c r="C28" t="s">
        <v>99</v>
      </c>
      <c r="D28">
        <v>1625</v>
      </c>
      <c r="E28" s="29">
        <v>0</v>
      </c>
    </row>
    <row r="29" spans="2:5" x14ac:dyDescent="0.25">
      <c r="C29" t="s">
        <v>56</v>
      </c>
      <c r="E29" s="29">
        <v>0</v>
      </c>
    </row>
    <row r="30" spans="2:5" x14ac:dyDescent="0.25">
      <c r="B30" t="s">
        <v>78</v>
      </c>
      <c r="C30" s="27" t="s">
        <v>50</v>
      </c>
      <c r="D30">
        <v>200</v>
      </c>
      <c r="E30">
        <v>0</v>
      </c>
    </row>
    <row r="31" spans="2:5" x14ac:dyDescent="0.25">
      <c r="C31" s="27" t="s">
        <v>55</v>
      </c>
      <c r="D31">
        <v>200</v>
      </c>
      <c r="E31" s="29">
        <v>200</v>
      </c>
    </row>
    <row r="32" spans="2:5" x14ac:dyDescent="0.25">
      <c r="C32" s="27" t="s">
        <v>59</v>
      </c>
      <c r="E32" s="29">
        <v>0</v>
      </c>
    </row>
    <row r="33" spans="2:5" x14ac:dyDescent="0.25">
      <c r="C33" s="27" t="s">
        <v>62</v>
      </c>
      <c r="D33">
        <v>4950</v>
      </c>
      <c r="E33" s="29">
        <v>4950</v>
      </c>
    </row>
    <row r="34" spans="2:5" x14ac:dyDescent="0.25">
      <c r="C34" t="s">
        <v>45</v>
      </c>
      <c r="D34" s="30"/>
      <c r="E34" s="30">
        <v>3500</v>
      </c>
    </row>
    <row r="35" spans="2:5" x14ac:dyDescent="0.25">
      <c r="B35" t="s">
        <v>87</v>
      </c>
      <c r="C35" t="s">
        <v>69</v>
      </c>
      <c r="D35" s="29">
        <v>300</v>
      </c>
      <c r="E35" s="29">
        <v>150</v>
      </c>
    </row>
    <row r="36" spans="2:5" x14ac:dyDescent="0.25">
      <c r="C36" t="s">
        <v>72</v>
      </c>
      <c r="D36" s="30"/>
      <c r="E36" s="30"/>
    </row>
    <row r="37" spans="2:5" x14ac:dyDescent="0.25">
      <c r="C37" t="s">
        <v>73</v>
      </c>
      <c r="D37" s="30"/>
      <c r="E37" s="30">
        <v>0</v>
      </c>
    </row>
    <row r="38" spans="2:5" x14ac:dyDescent="0.25">
      <c r="C38" t="s">
        <v>75</v>
      </c>
    </row>
    <row r="39" spans="2:5" x14ac:dyDescent="0.25">
      <c r="C39" t="s">
        <v>76</v>
      </c>
      <c r="E39" s="30">
        <v>0</v>
      </c>
    </row>
    <row r="40" spans="2:5" x14ac:dyDescent="0.25">
      <c r="C40" t="s">
        <v>77</v>
      </c>
      <c r="E40" s="30">
        <v>0</v>
      </c>
    </row>
    <row r="41" spans="2:5" x14ac:dyDescent="0.25">
      <c r="C41" t="s">
        <v>79</v>
      </c>
      <c r="D41">
        <v>6500</v>
      </c>
      <c r="E41" s="30">
        <v>0</v>
      </c>
    </row>
    <row r="42" spans="2:5" x14ac:dyDescent="0.25">
      <c r="C42" t="s">
        <v>45</v>
      </c>
      <c r="D42" s="30"/>
      <c r="E42" s="30">
        <v>3500</v>
      </c>
    </row>
    <row r="43" spans="2:5" x14ac:dyDescent="0.25">
      <c r="B43" t="s">
        <v>94</v>
      </c>
      <c r="C43" t="s">
        <v>273</v>
      </c>
    </row>
    <row r="44" spans="2:5" x14ac:dyDescent="0.25">
      <c r="C44" t="s">
        <v>76</v>
      </c>
      <c r="E44" s="30">
        <v>0</v>
      </c>
    </row>
    <row r="45" spans="2:5" x14ac:dyDescent="0.25">
      <c r="C45" t="s">
        <v>84</v>
      </c>
      <c r="E45" s="30">
        <v>0</v>
      </c>
    </row>
    <row r="46" spans="2:5" x14ac:dyDescent="0.25">
      <c r="C46" t="s">
        <v>77</v>
      </c>
      <c r="E46" s="30">
        <v>0</v>
      </c>
    </row>
    <row r="47" spans="2:5" x14ac:dyDescent="0.25">
      <c r="B47" t="s">
        <v>102</v>
      </c>
      <c r="C47" t="s">
        <v>286</v>
      </c>
    </row>
    <row r="48" spans="2:5" x14ac:dyDescent="0.25">
      <c r="C48" t="s">
        <v>45</v>
      </c>
      <c r="E48">
        <v>3500</v>
      </c>
    </row>
    <row r="49" spans="2:5" x14ac:dyDescent="0.25">
      <c r="C49" t="s">
        <v>287</v>
      </c>
      <c r="E49">
        <v>0</v>
      </c>
    </row>
    <row r="50" spans="2:5" x14ac:dyDescent="0.25">
      <c r="C50" s="27" t="s">
        <v>288</v>
      </c>
      <c r="D50" s="30">
        <v>1350</v>
      </c>
      <c r="E50" s="30">
        <v>1350</v>
      </c>
    </row>
    <row r="51" spans="2:5" x14ac:dyDescent="0.25">
      <c r="C51" s="27" t="s">
        <v>46</v>
      </c>
      <c r="D51" s="29">
        <v>250</v>
      </c>
      <c r="E51" s="29"/>
    </row>
    <row r="52" spans="2:5" x14ac:dyDescent="0.25">
      <c r="C52" s="27" t="s">
        <v>107</v>
      </c>
      <c r="E52" s="29">
        <v>0</v>
      </c>
    </row>
    <row r="53" spans="2:5" x14ac:dyDescent="0.25">
      <c r="C53" s="27" t="s">
        <v>39</v>
      </c>
      <c r="D53">
        <v>1250</v>
      </c>
      <c r="E53" s="29">
        <v>0</v>
      </c>
    </row>
    <row r="54" spans="2:5" x14ac:dyDescent="0.25">
      <c r="B54" t="s">
        <v>106</v>
      </c>
      <c r="C54" s="27" t="s">
        <v>60</v>
      </c>
      <c r="D54" s="29">
        <v>0</v>
      </c>
      <c r="E54" s="29">
        <v>3500</v>
      </c>
    </row>
    <row r="55" spans="2:5" x14ac:dyDescent="0.25">
      <c r="C55" s="27" t="s">
        <v>63</v>
      </c>
      <c r="D55" s="29"/>
      <c r="E55" s="29">
        <v>0</v>
      </c>
    </row>
    <row r="56" spans="2:5" x14ac:dyDescent="0.25">
      <c r="C56" s="27" t="s">
        <v>289</v>
      </c>
      <c r="D56" s="29">
        <v>0</v>
      </c>
      <c r="E56" s="29">
        <v>3500</v>
      </c>
    </row>
    <row r="57" spans="2:5" x14ac:dyDescent="0.25">
      <c r="C57" s="27" t="s">
        <v>39</v>
      </c>
      <c r="D57">
        <v>1250</v>
      </c>
      <c r="E57" s="29">
        <v>0</v>
      </c>
    </row>
    <row r="58" spans="2:5" x14ac:dyDescent="0.25">
      <c r="C58" s="27" t="s">
        <v>56</v>
      </c>
      <c r="E58" s="29">
        <v>0</v>
      </c>
    </row>
    <row r="59" spans="2:5" x14ac:dyDescent="0.25">
      <c r="C59" s="27" t="s">
        <v>74</v>
      </c>
      <c r="D59" s="29">
        <v>150</v>
      </c>
      <c r="E59" s="29"/>
    </row>
    <row r="60" spans="2:5" x14ac:dyDescent="0.25">
      <c r="B60" t="s">
        <v>110</v>
      </c>
      <c r="C60" s="27" t="s">
        <v>41</v>
      </c>
      <c r="D60" s="29"/>
      <c r="E60" s="29"/>
    </row>
    <row r="61" spans="2:5" x14ac:dyDescent="0.25">
      <c r="C61" t="s">
        <v>47</v>
      </c>
      <c r="D61" s="29">
        <v>50</v>
      </c>
      <c r="E61" s="30">
        <v>0</v>
      </c>
    </row>
    <row r="62" spans="2:5" x14ac:dyDescent="0.25">
      <c r="C62" t="s">
        <v>51</v>
      </c>
      <c r="D62" s="29">
        <v>100</v>
      </c>
      <c r="E62" s="30">
        <v>0</v>
      </c>
    </row>
    <row r="63" spans="2:5" x14ac:dyDescent="0.25">
      <c r="C63" t="s">
        <v>57</v>
      </c>
      <c r="D63" s="29">
        <v>80</v>
      </c>
      <c r="E63" s="30">
        <v>0</v>
      </c>
    </row>
    <row r="64" spans="2:5" x14ac:dyDescent="0.25">
      <c r="C64" s="27" t="s">
        <v>81</v>
      </c>
      <c r="D64" s="29"/>
      <c r="E64" s="29">
        <v>0</v>
      </c>
    </row>
    <row r="65" spans="2:5" x14ac:dyDescent="0.25">
      <c r="C65" s="27" t="s">
        <v>65</v>
      </c>
      <c r="D65" s="29"/>
      <c r="E65" s="29"/>
    </row>
    <row r="66" spans="2:5" x14ac:dyDescent="0.25">
      <c r="C66" s="27" t="s">
        <v>70</v>
      </c>
      <c r="D66" s="29"/>
      <c r="E66" s="29"/>
    </row>
    <row r="67" spans="2:5" x14ac:dyDescent="0.25">
      <c r="C67" s="27" t="s">
        <v>85</v>
      </c>
      <c r="D67" s="29">
        <v>1900</v>
      </c>
      <c r="E67" s="29">
        <v>0</v>
      </c>
    </row>
    <row r="68" spans="2:5" x14ac:dyDescent="0.25">
      <c r="C68" s="27" t="s">
        <v>86</v>
      </c>
      <c r="D68" s="29"/>
      <c r="E68" s="29">
        <v>0</v>
      </c>
    </row>
    <row r="69" spans="2:5" x14ac:dyDescent="0.25">
      <c r="C69" s="27" t="s">
        <v>290</v>
      </c>
      <c r="D69" s="29">
        <v>250</v>
      </c>
      <c r="E69" s="29">
        <v>500</v>
      </c>
    </row>
    <row r="70" spans="2:5" x14ac:dyDescent="0.25">
      <c r="C70" s="27" t="s">
        <v>64</v>
      </c>
      <c r="D70" s="29"/>
      <c r="E70" s="29">
        <v>3500</v>
      </c>
    </row>
    <row r="71" spans="2:5" x14ac:dyDescent="0.25">
      <c r="B71" t="s">
        <v>116</v>
      </c>
      <c r="C71" t="s">
        <v>88</v>
      </c>
      <c r="D71" s="29"/>
      <c r="E71" s="29"/>
    </row>
    <row r="72" spans="2:5" x14ac:dyDescent="0.25">
      <c r="C72" t="s">
        <v>89</v>
      </c>
      <c r="D72" s="29">
        <v>200</v>
      </c>
      <c r="E72" s="29">
        <v>0</v>
      </c>
    </row>
    <row r="73" spans="2:5" x14ac:dyDescent="0.25">
      <c r="C73" t="s">
        <v>90</v>
      </c>
      <c r="E73" s="29">
        <v>0</v>
      </c>
    </row>
    <row r="74" spans="2:5" x14ac:dyDescent="0.25">
      <c r="C74" t="s">
        <v>91</v>
      </c>
      <c r="D74" s="29"/>
      <c r="E74" s="29"/>
    </row>
    <row r="75" spans="2:5" x14ac:dyDescent="0.25">
      <c r="C75" s="27" t="s">
        <v>95</v>
      </c>
      <c r="D75" s="29">
        <v>500</v>
      </c>
      <c r="E75" s="29">
        <v>500</v>
      </c>
    </row>
    <row r="76" spans="2:5" x14ac:dyDescent="0.25">
      <c r="C76" s="27" t="s">
        <v>97</v>
      </c>
      <c r="D76" s="29"/>
      <c r="E76" s="29">
        <v>0</v>
      </c>
    </row>
    <row r="77" spans="2:5" x14ac:dyDescent="0.25">
      <c r="C77" s="27" t="s">
        <v>291</v>
      </c>
      <c r="D77" s="29"/>
      <c r="E77" s="29">
        <v>500</v>
      </c>
    </row>
    <row r="78" spans="2:5" x14ac:dyDescent="0.25">
      <c r="B78" t="s">
        <v>121</v>
      </c>
      <c r="C78" t="s">
        <v>100</v>
      </c>
      <c r="D78" s="29"/>
      <c r="E78" s="30"/>
    </row>
    <row r="79" spans="2:5" x14ac:dyDescent="0.25">
      <c r="C79" t="s">
        <v>67</v>
      </c>
      <c r="D79" s="29">
        <v>500</v>
      </c>
      <c r="E79" s="29">
        <v>500</v>
      </c>
    </row>
    <row r="80" spans="2:5" x14ac:dyDescent="0.25">
      <c r="C80" t="s">
        <v>101</v>
      </c>
      <c r="D80" s="29"/>
      <c r="E80" s="29"/>
    </row>
    <row r="81" spans="2:5" x14ac:dyDescent="0.25">
      <c r="C81" t="s">
        <v>103</v>
      </c>
      <c r="D81" s="29"/>
      <c r="E81" s="29"/>
    </row>
    <row r="82" spans="2:5" x14ac:dyDescent="0.25">
      <c r="C82" t="s">
        <v>104</v>
      </c>
      <c r="D82" s="29"/>
      <c r="E82" s="29"/>
    </row>
    <row r="83" spans="2:5" x14ac:dyDescent="0.25">
      <c r="C83" t="s">
        <v>105</v>
      </c>
      <c r="D83" s="29">
        <v>1600</v>
      </c>
      <c r="E83" s="29">
        <v>0</v>
      </c>
    </row>
    <row r="84" spans="2:5" x14ac:dyDescent="0.25">
      <c r="C84" t="s">
        <v>92</v>
      </c>
      <c r="E84" s="29">
        <v>0</v>
      </c>
    </row>
    <row r="85" spans="2:5" x14ac:dyDescent="0.25">
      <c r="C85" t="s">
        <v>45</v>
      </c>
      <c r="E85" s="29">
        <v>3500</v>
      </c>
    </row>
    <row r="86" spans="2:5" x14ac:dyDescent="0.25">
      <c r="C86" t="s">
        <v>292</v>
      </c>
      <c r="D86">
        <v>200</v>
      </c>
      <c r="E86" s="29"/>
    </row>
    <row r="87" spans="2:5" x14ac:dyDescent="0.25">
      <c r="B87" t="s">
        <v>125</v>
      </c>
      <c r="C87" t="s">
        <v>42</v>
      </c>
      <c r="D87" s="29"/>
      <c r="E87" s="29">
        <v>170</v>
      </c>
    </row>
    <row r="88" spans="2:5" x14ac:dyDescent="0.25">
      <c r="C88" t="s">
        <v>45</v>
      </c>
      <c r="D88" s="29"/>
      <c r="E88" s="30">
        <v>3500</v>
      </c>
    </row>
    <row r="89" spans="2:5" x14ac:dyDescent="0.25">
      <c r="C89" t="s">
        <v>52</v>
      </c>
      <c r="D89">
        <v>50</v>
      </c>
      <c r="E89" s="29">
        <v>0</v>
      </c>
    </row>
    <row r="90" spans="2:5" x14ac:dyDescent="0.25">
      <c r="C90" t="s">
        <v>93</v>
      </c>
      <c r="D90" s="27"/>
      <c r="E90" s="30"/>
    </row>
    <row r="91" spans="2:5" x14ac:dyDescent="0.25">
      <c r="C91" t="s">
        <v>96</v>
      </c>
      <c r="D91" s="27">
        <v>300</v>
      </c>
      <c r="E91" s="30">
        <v>0</v>
      </c>
    </row>
    <row r="92" spans="2:5" x14ac:dyDescent="0.25">
      <c r="C92" t="s">
        <v>293</v>
      </c>
      <c r="D92" s="29">
        <v>1500</v>
      </c>
      <c r="E92" s="29">
        <v>0</v>
      </c>
    </row>
    <row r="93" spans="2:5" x14ac:dyDescent="0.25">
      <c r="C93" t="s">
        <v>98</v>
      </c>
      <c r="E93" s="29">
        <v>0</v>
      </c>
    </row>
    <row r="94" spans="2:5" x14ac:dyDescent="0.25">
      <c r="B94" t="s">
        <v>131</v>
      </c>
      <c r="C94" t="s">
        <v>294</v>
      </c>
      <c r="D94">
        <v>1100</v>
      </c>
      <c r="E94" s="30"/>
    </row>
    <row r="95" spans="2:5" x14ac:dyDescent="0.25">
      <c r="C95" t="s">
        <v>293</v>
      </c>
      <c r="D95" s="29">
        <v>1500</v>
      </c>
      <c r="E95" s="29">
        <v>0</v>
      </c>
    </row>
    <row r="96" spans="2:5" x14ac:dyDescent="0.25">
      <c r="C96" t="s">
        <v>98</v>
      </c>
      <c r="E96" s="29">
        <v>0</v>
      </c>
    </row>
    <row r="97" spans="2:6" x14ac:dyDescent="0.25">
      <c r="B97" t="s">
        <v>138</v>
      </c>
      <c r="C97" t="s">
        <v>295</v>
      </c>
      <c r="D97">
        <v>300</v>
      </c>
      <c r="E97" s="30">
        <v>0</v>
      </c>
    </row>
    <row r="98" spans="2:6" x14ac:dyDescent="0.25">
      <c r="C98" t="s">
        <v>296</v>
      </c>
      <c r="D98">
        <v>3700</v>
      </c>
      <c r="E98" s="30">
        <v>3700</v>
      </c>
    </row>
    <row r="99" spans="2:6" x14ac:dyDescent="0.25">
      <c r="C99" s="27" t="s">
        <v>297</v>
      </c>
      <c r="E99" s="30">
        <v>1800</v>
      </c>
    </row>
    <row r="100" spans="2:6" x14ac:dyDescent="0.25">
      <c r="C100" s="27" t="s">
        <v>298</v>
      </c>
      <c r="E100" s="30">
        <v>0</v>
      </c>
    </row>
    <row r="101" spans="2:6" x14ac:dyDescent="0.25">
      <c r="C101" s="27" t="s">
        <v>108</v>
      </c>
      <c r="D101" s="29">
        <v>1200</v>
      </c>
      <c r="E101" s="29">
        <v>0</v>
      </c>
    </row>
    <row r="102" spans="2:6" x14ac:dyDescent="0.25">
      <c r="C102" s="27" t="s">
        <v>56</v>
      </c>
      <c r="D102" s="29"/>
      <c r="E102" s="29">
        <v>0</v>
      </c>
    </row>
    <row r="103" spans="2:6" x14ac:dyDescent="0.25">
      <c r="B103" t="s">
        <v>141</v>
      </c>
      <c r="C103" s="27" t="s">
        <v>111</v>
      </c>
      <c r="D103" s="29">
        <v>1200</v>
      </c>
      <c r="E103" s="29">
        <v>0</v>
      </c>
      <c r="F103" s="29" t="s">
        <v>112</v>
      </c>
    </row>
    <row r="104" spans="2:6" x14ac:dyDescent="0.25">
      <c r="C104" s="27" t="s">
        <v>113</v>
      </c>
      <c r="D104" s="29">
        <v>300</v>
      </c>
      <c r="E104" s="29">
        <v>0</v>
      </c>
      <c r="F104" s="29"/>
    </row>
    <row r="105" spans="2:6" x14ac:dyDescent="0.25">
      <c r="C105" s="27" t="s">
        <v>115</v>
      </c>
      <c r="D105" s="29"/>
      <c r="E105" s="29">
        <v>0</v>
      </c>
      <c r="F105" s="29"/>
    </row>
    <row r="106" spans="2:6" x14ac:dyDescent="0.25">
      <c r="C106" s="27" t="s">
        <v>108</v>
      </c>
      <c r="D106" s="29">
        <v>1200</v>
      </c>
      <c r="E106" s="29">
        <v>0</v>
      </c>
      <c r="F106" s="29" t="s">
        <v>109</v>
      </c>
    </row>
    <row r="107" spans="2:6" x14ac:dyDescent="0.25">
      <c r="B107" t="s">
        <v>144</v>
      </c>
      <c r="C107" s="27" t="s">
        <v>117</v>
      </c>
      <c r="D107" s="29">
        <v>1500</v>
      </c>
      <c r="E107" s="29">
        <v>1500</v>
      </c>
      <c r="F107" s="29" t="s">
        <v>118</v>
      </c>
    </row>
    <row r="108" spans="2:6" x14ac:dyDescent="0.25">
      <c r="C108" s="27" t="s">
        <v>120</v>
      </c>
      <c r="D108" s="29"/>
      <c r="E108" s="29">
        <v>0</v>
      </c>
      <c r="F108" s="29"/>
    </row>
    <row r="109" spans="2:6" x14ac:dyDescent="0.25">
      <c r="C109" s="27" t="s">
        <v>108</v>
      </c>
      <c r="D109" s="29">
        <v>1200</v>
      </c>
      <c r="E109" s="29">
        <v>0</v>
      </c>
      <c r="F109" s="29" t="s">
        <v>109</v>
      </c>
    </row>
    <row r="110" spans="2:6" x14ac:dyDescent="0.25">
      <c r="B110" t="s">
        <v>145</v>
      </c>
      <c r="C110" s="27" t="s">
        <v>283</v>
      </c>
      <c r="E110" s="29">
        <v>3000</v>
      </c>
    </row>
    <row r="111" spans="2:6" x14ac:dyDescent="0.25">
      <c r="C111" s="27" t="s">
        <v>284</v>
      </c>
      <c r="D111" s="29">
        <v>450</v>
      </c>
      <c r="E111" s="30">
        <v>450</v>
      </c>
    </row>
    <row r="112" spans="2:6" x14ac:dyDescent="0.25">
      <c r="C112" t="s">
        <v>81</v>
      </c>
      <c r="D112" s="29"/>
      <c r="E112" s="30">
        <v>0</v>
      </c>
    </row>
    <row r="113" spans="2:12" x14ac:dyDescent="0.25">
      <c r="C113" t="s">
        <v>128</v>
      </c>
      <c r="D113" s="30"/>
      <c r="E113" s="30">
        <v>0</v>
      </c>
    </row>
    <row r="114" spans="2:12" x14ac:dyDescent="0.25">
      <c r="C114" t="s">
        <v>249</v>
      </c>
      <c r="D114" s="30">
        <v>2100</v>
      </c>
      <c r="E114" s="30">
        <v>0</v>
      </c>
    </row>
    <row r="115" spans="2:12" x14ac:dyDescent="0.25">
      <c r="B115" t="s">
        <v>299</v>
      </c>
      <c r="C115" t="s">
        <v>114</v>
      </c>
      <c r="D115" s="30"/>
      <c r="E115" s="30">
        <v>0</v>
      </c>
    </row>
    <row r="116" spans="2:12" x14ac:dyDescent="0.25">
      <c r="C116" t="s">
        <v>251</v>
      </c>
      <c r="D116" s="30"/>
      <c r="E116" s="30">
        <v>0</v>
      </c>
    </row>
    <row r="117" spans="2:12" x14ac:dyDescent="0.25">
      <c r="C117" t="s">
        <v>278</v>
      </c>
      <c r="D117" s="30">
        <f>2100*5</f>
        <v>10500</v>
      </c>
      <c r="E117" s="30">
        <v>0</v>
      </c>
    </row>
    <row r="118" spans="2:12" x14ac:dyDescent="0.25">
      <c r="B118" t="s">
        <v>148</v>
      </c>
      <c r="C118" t="s">
        <v>252</v>
      </c>
      <c r="D118" s="30">
        <v>1400</v>
      </c>
      <c r="E118" s="30">
        <v>1400</v>
      </c>
    </row>
    <row r="119" spans="2:12" x14ac:dyDescent="0.25">
      <c r="C119" t="s">
        <v>253</v>
      </c>
      <c r="D119" s="30">
        <v>200</v>
      </c>
      <c r="E119" s="30"/>
    </row>
    <row r="120" spans="2:12" x14ac:dyDescent="0.25">
      <c r="C120" s="27" t="s">
        <v>136</v>
      </c>
      <c r="E120" s="29">
        <v>0</v>
      </c>
    </row>
    <row r="121" spans="2:12" x14ac:dyDescent="0.25">
      <c r="C121" t="s">
        <v>37</v>
      </c>
      <c r="D121" s="29"/>
      <c r="E121" s="30">
        <v>0</v>
      </c>
    </row>
    <row r="122" spans="2:12" x14ac:dyDescent="0.25">
      <c r="C122" t="s">
        <v>119</v>
      </c>
      <c r="E122" s="29">
        <f>23*3500</f>
        <v>80500</v>
      </c>
    </row>
    <row r="123" spans="2:12" x14ac:dyDescent="0.25">
      <c r="C123" s="27" t="s">
        <v>146</v>
      </c>
      <c r="D123" s="29"/>
      <c r="E123" s="29">
        <v>0</v>
      </c>
    </row>
    <row r="124" spans="2:12" x14ac:dyDescent="0.25">
      <c r="E124" s="29"/>
      <c r="H124" t="s">
        <v>255</v>
      </c>
      <c r="I124" s="34">
        <v>2300</v>
      </c>
      <c r="J124">
        <v>2700</v>
      </c>
      <c r="K124">
        <v>3100</v>
      </c>
      <c r="L124">
        <v>3500</v>
      </c>
    </row>
    <row r="125" spans="2:12" x14ac:dyDescent="0.25">
      <c r="C125" s="28" t="s">
        <v>122</v>
      </c>
      <c r="D125" s="33">
        <f>SUM(D5:D124)/$C$1</f>
        <v>1597.2266999999999</v>
      </c>
      <c r="E125" s="33">
        <f>SUM(E5:E124)/$C$1</f>
        <v>3841.1441999999997</v>
      </c>
      <c r="F125" t="s">
        <v>256</v>
      </c>
      <c r="G125" s="30">
        <f>+E125+D125+D125-D135</f>
        <v>6067.0826999999999</v>
      </c>
      <c r="H125" s="27"/>
      <c r="I125" s="31" t="s">
        <v>257</v>
      </c>
      <c r="J125" s="31" t="s">
        <v>258</v>
      </c>
      <c r="K125" s="31" t="s">
        <v>259</v>
      </c>
      <c r="L125" s="31" t="s">
        <v>260</v>
      </c>
    </row>
    <row r="126" spans="2:12" x14ac:dyDescent="0.25">
      <c r="F126" t="s">
        <v>261</v>
      </c>
      <c r="G126" s="30">
        <v>2300</v>
      </c>
      <c r="H126" s="27"/>
      <c r="I126" s="34">
        <f>+G130</f>
        <v>4183.5413499999995</v>
      </c>
      <c r="J126" s="34">
        <f>+((D125*4)+E125-(D135*2)+J124)/4</f>
        <v>2748.2552999999998</v>
      </c>
      <c r="K126" s="34">
        <f>+((D125*6)+E125-(D135*3)+K124)/6</f>
        <v>2269.8266166666667</v>
      </c>
      <c r="L126" s="34">
        <f>+((D125*8)+E125-(D135*4)+L124)/8</f>
        <v>2030.612275</v>
      </c>
    </row>
    <row r="127" spans="2:12" x14ac:dyDescent="0.25">
      <c r="C127" s="28" t="s">
        <v>123</v>
      </c>
      <c r="D127" s="28"/>
      <c r="E127" s="33">
        <f>6000/$C$1/30*19</f>
        <v>105.10799999999999</v>
      </c>
      <c r="F127" t="s">
        <v>262</v>
      </c>
      <c r="G127" s="30">
        <f>+G126+G125</f>
        <v>8367.082699999999</v>
      </c>
      <c r="H127" s="27" t="s">
        <v>279</v>
      </c>
      <c r="I127" s="34">
        <f>+I126-((((D33-D28)/$C$1)/2)+((E33-E28)/$C$1)/2)</f>
        <v>4069.0980999999997</v>
      </c>
      <c r="J127" s="34">
        <f>+J126-((((D33-D28)/$C$1)/2)+((E33-E28)/$C$1)/4)</f>
        <v>2668.0412999999999</v>
      </c>
      <c r="K127" s="34">
        <f>+K126-((((D33-D28)/$C$1)/2)+((E33-E28)/$C$1)/6)</f>
        <v>2201.0223666666666</v>
      </c>
      <c r="L127" s="34">
        <f>+L126-((((D33-D28)/$C$1)/2)+((D33-D28)/$C$1)/8)</f>
        <v>1973.1313375</v>
      </c>
    </row>
    <row r="128" spans="2:12" x14ac:dyDescent="0.25">
      <c r="C128" s="28" t="s">
        <v>124</v>
      </c>
      <c r="D128" s="28"/>
      <c r="E128" s="33">
        <f>+E127+E125+(D125*E130)</f>
        <v>13529.612399999998</v>
      </c>
      <c r="F128" t="s">
        <v>263</v>
      </c>
      <c r="G128" s="65">
        <v>0</v>
      </c>
      <c r="H128" s="27"/>
    </row>
    <row r="129" spans="3:9" x14ac:dyDescent="0.25">
      <c r="C129" s="28" t="s">
        <v>126</v>
      </c>
      <c r="D129" s="28"/>
      <c r="E129" s="33">
        <v>41.5</v>
      </c>
      <c r="F129" t="s">
        <v>264</v>
      </c>
      <c r="G129" s="30">
        <f>+G128+G127</f>
        <v>8367.082699999999</v>
      </c>
      <c r="H129" s="27"/>
    </row>
    <row r="130" spans="3:9" x14ac:dyDescent="0.25">
      <c r="C130" s="28" t="s">
        <v>127</v>
      </c>
      <c r="D130" s="33"/>
      <c r="E130" s="28">
        <v>6</v>
      </c>
      <c r="F130" t="s">
        <v>265</v>
      </c>
      <c r="G130" s="30">
        <f>+G129/2</f>
        <v>4183.5413499999995</v>
      </c>
      <c r="H130" s="30"/>
    </row>
    <row r="131" spans="3:9" x14ac:dyDescent="0.25">
      <c r="C131" s="28" t="s">
        <v>129</v>
      </c>
      <c r="D131" s="33"/>
      <c r="E131" s="33">
        <f>+E130*E129*11</f>
        <v>2739</v>
      </c>
      <c r="G131" s="30"/>
      <c r="H131" s="30"/>
    </row>
    <row r="132" spans="3:9" x14ac:dyDescent="0.25">
      <c r="C132" s="28" t="s">
        <v>130</v>
      </c>
      <c r="D132" s="33"/>
      <c r="E132" s="33">
        <f>+E131+E128</f>
        <v>16268.612399999998</v>
      </c>
      <c r="F132" s="27"/>
      <c r="G132" s="30"/>
      <c r="H132" s="30"/>
      <c r="I132" s="29"/>
    </row>
    <row r="133" spans="3:9" x14ac:dyDescent="0.25">
      <c r="C133" s="28" t="s">
        <v>132</v>
      </c>
      <c r="D133" s="33">
        <f>+E132/E130</f>
        <v>2711.4353999999998</v>
      </c>
      <c r="E133" s="28"/>
      <c r="F133" s="27"/>
      <c r="G133" s="30"/>
      <c r="H133" s="30"/>
    </row>
    <row r="134" spans="3:9" x14ac:dyDescent="0.25">
      <c r="C134" s="28" t="s">
        <v>133</v>
      </c>
      <c r="D134" s="33">
        <f>+(E132/E130*2)-D135</f>
        <v>4454.3558999999996</v>
      </c>
      <c r="E134" s="28"/>
      <c r="F134" s="27"/>
      <c r="G134" s="27"/>
      <c r="H134" s="30"/>
    </row>
    <row r="135" spans="3:9" x14ac:dyDescent="0.25">
      <c r="C135" s="28" t="s">
        <v>134</v>
      </c>
      <c r="D135" s="33">
        <f>+(+D117+D114+D109+D106+D101+D33+D28+D22+D10+D95+D92+D83+D67+D57+D53)/$C$1</f>
        <v>968.5148999999999</v>
      </c>
      <c r="E135" s="28"/>
      <c r="G135" s="29"/>
      <c r="H135" s="27"/>
    </row>
    <row r="136" spans="3:9" x14ac:dyDescent="0.25">
      <c r="C136" s="28" t="s">
        <v>135</v>
      </c>
      <c r="D136" s="33">
        <f>+D125-D135</f>
        <v>628.71180000000004</v>
      </c>
      <c r="E136" s="28"/>
      <c r="G136" s="29"/>
    </row>
    <row r="137" spans="3:9" x14ac:dyDescent="0.25">
      <c r="F137" s="29"/>
    </row>
    <row r="138" spans="3:9" x14ac:dyDescent="0.25">
      <c r="C138" s="28" t="s">
        <v>137</v>
      </c>
      <c r="D138" s="33">
        <f>+(E128/8)+((E129*8*10)/8)</f>
        <v>2106.2015499999998</v>
      </c>
      <c r="E138" s="30">
        <f>+D138*$C$1</f>
        <v>76146.115328994929</v>
      </c>
      <c r="F138" s="29"/>
    </row>
    <row r="139" spans="3:9" x14ac:dyDescent="0.25">
      <c r="C139" s="28" t="s">
        <v>139</v>
      </c>
      <c r="D139" s="33">
        <f>+(D138*2)-D135</f>
        <v>3243.8881999999994</v>
      </c>
      <c r="E139" s="30">
        <f t="shared" ref="E139:E145" si="0">+D139*$C$1</f>
        <v>117277.23065798986</v>
      </c>
    </row>
    <row r="140" spans="3:9" x14ac:dyDescent="0.25">
      <c r="C140" s="28" t="s">
        <v>140</v>
      </c>
      <c r="D140" s="33">
        <f>+(E128/6)+((E129*8*10)/6)+((17550/6)-(17550/8))/$C$1</f>
        <v>2828.4951083333335</v>
      </c>
      <c r="E140" s="30">
        <f t="shared" si="0"/>
        <v>102259.40377199327</v>
      </c>
      <c r="H140" s="66"/>
    </row>
    <row r="141" spans="3:9" x14ac:dyDescent="0.25">
      <c r="C141" s="28" t="s">
        <v>139</v>
      </c>
      <c r="D141" s="33">
        <f>+(D140*2)-D135</f>
        <v>4688.4753166666669</v>
      </c>
      <c r="E141" s="30">
        <f t="shared" si="0"/>
        <v>169503.80754398654</v>
      </c>
      <c r="F141" s="29"/>
      <c r="H141" s="66"/>
    </row>
    <row r="142" spans="3:9" x14ac:dyDescent="0.25">
      <c r="C142" s="28" t="s">
        <v>142</v>
      </c>
      <c r="D142" s="33">
        <f>+(E128/4)+((E129*6*10)/4)+((17550/4)-(17550/8))/$C$1</f>
        <v>4065.5822249999997</v>
      </c>
      <c r="E142" s="30">
        <f t="shared" si="0"/>
        <v>146984.17299349239</v>
      </c>
      <c r="F142" s="29"/>
      <c r="G142" s="29"/>
    </row>
    <row r="143" spans="3:9" x14ac:dyDescent="0.25">
      <c r="C143" s="28" t="s">
        <v>139</v>
      </c>
      <c r="D143" s="33">
        <f>+(D142*2)-D135</f>
        <v>7162.6495499999992</v>
      </c>
      <c r="E143" s="30">
        <f t="shared" si="0"/>
        <v>258953.34598698479</v>
      </c>
      <c r="F143" s="29"/>
    </row>
    <row r="144" spans="3:9" x14ac:dyDescent="0.25">
      <c r="C144" s="28" t="s">
        <v>143</v>
      </c>
      <c r="D144" s="33">
        <f>+(E128/2)+((E129*4*10)/2)+((17550/2)-(17550/8))/$C$1</f>
        <v>7776.843574999999</v>
      </c>
      <c r="E144" s="30">
        <f t="shared" si="0"/>
        <v>281158.48065798986</v>
      </c>
      <c r="G144" s="29"/>
    </row>
    <row r="145" spans="3:6" x14ac:dyDescent="0.25">
      <c r="C145" s="28" t="s">
        <v>139</v>
      </c>
      <c r="D145" s="33">
        <f>+(D144*2)-D135</f>
        <v>14585.172249999998</v>
      </c>
      <c r="E145" s="30">
        <f t="shared" si="0"/>
        <v>527301.96131597972</v>
      </c>
      <c r="F145" s="2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33"/>
  <sheetViews>
    <sheetView workbookViewId="0">
      <selection activeCell="L12" sqref="L12"/>
    </sheetView>
  </sheetViews>
  <sheetFormatPr baseColWidth="10" defaultRowHeight="15" x14ac:dyDescent="0.25"/>
  <cols>
    <col min="9" max="9" width="3.85546875" customWidth="1"/>
    <col min="10" max="10" width="12" customWidth="1"/>
    <col min="13" max="13" width="12" customWidth="1"/>
    <col min="14" max="14" width="3.85546875" customWidth="1"/>
    <col min="15" max="15" width="4.85546875" bestFit="1" customWidth="1"/>
    <col min="16" max="16" width="11.85546875" bestFit="1" customWidth="1"/>
    <col min="17" max="17" width="7" bestFit="1" customWidth="1"/>
    <col min="18" max="18" width="11.5703125" bestFit="1" customWidth="1"/>
    <col min="19" max="19" width="8.42578125" bestFit="1" customWidth="1"/>
    <col min="29" max="29" width="23.85546875" customWidth="1"/>
    <col min="30" max="34" width="8" customWidth="1"/>
    <col min="35" max="35" width="10" customWidth="1"/>
    <col min="36" max="36" width="8" style="27" customWidth="1"/>
    <col min="37" max="37" width="8" customWidth="1"/>
    <col min="38" max="38" width="14.85546875" customWidth="1"/>
    <col min="39" max="39" width="21" customWidth="1"/>
    <col min="40" max="40" width="25.7109375" customWidth="1"/>
    <col min="41" max="41" width="22.140625" customWidth="1"/>
    <col min="42" max="42" width="15.28515625" customWidth="1"/>
    <col min="43" max="43" width="16.140625" customWidth="1"/>
    <col min="44" max="44" width="19" customWidth="1"/>
  </cols>
  <sheetData>
    <row r="1" spans="2:44" x14ac:dyDescent="0.25">
      <c r="K1" s="26"/>
      <c r="L1" s="26"/>
      <c r="M1" s="35"/>
      <c r="N1" s="26"/>
      <c r="O1" s="26"/>
      <c r="P1" s="26"/>
      <c r="Q1" s="26"/>
      <c r="R1" s="36"/>
      <c r="X1" s="75" t="s">
        <v>149</v>
      </c>
      <c r="Y1" s="75"/>
      <c r="Z1" s="37" t="s">
        <v>150</v>
      </c>
    </row>
    <row r="2" spans="2:44" ht="18.75" x14ac:dyDescent="0.3">
      <c r="B2" s="38"/>
      <c r="K2" s="26"/>
      <c r="L2" s="26"/>
      <c r="M2" s="35"/>
      <c r="N2" s="26"/>
      <c r="O2" s="26"/>
      <c r="P2" s="26"/>
      <c r="Q2" s="26"/>
      <c r="R2" s="26"/>
      <c r="X2" t="s">
        <v>151</v>
      </c>
      <c r="AC2" t="s">
        <v>152</v>
      </c>
      <c r="AK2" s="27"/>
      <c r="AL2" s="27"/>
      <c r="AM2" s="27"/>
      <c r="AN2" s="27"/>
      <c r="AO2" s="27"/>
      <c r="AP2" s="27"/>
      <c r="AQ2" s="27"/>
      <c r="AR2" s="27"/>
    </row>
    <row r="3" spans="2:44" ht="18.75" x14ac:dyDescent="0.3">
      <c r="B3" s="38"/>
      <c r="K3" s="26"/>
      <c r="L3" s="26"/>
      <c r="M3" s="39"/>
      <c r="N3" s="26"/>
      <c r="O3" s="26"/>
      <c r="P3" s="26"/>
      <c r="Q3" s="26"/>
      <c r="R3" s="26"/>
      <c r="X3" s="37" t="s">
        <v>28</v>
      </c>
      <c r="AC3" t="s">
        <v>153</v>
      </c>
      <c r="AK3" s="27"/>
      <c r="AL3" s="27"/>
      <c r="AM3" s="27"/>
      <c r="AN3" s="27"/>
      <c r="AO3" s="27"/>
      <c r="AP3" s="27"/>
      <c r="AQ3" s="27"/>
      <c r="AR3" s="27"/>
    </row>
    <row r="4" spans="2:44" ht="18.75" x14ac:dyDescent="0.3">
      <c r="B4" s="38"/>
      <c r="K4" s="26"/>
      <c r="L4" s="26"/>
      <c r="M4" s="39"/>
      <c r="N4" s="26"/>
      <c r="O4" s="26"/>
      <c r="P4" s="26"/>
      <c r="Q4" s="26"/>
      <c r="R4" s="39"/>
      <c r="AC4" t="s">
        <v>154</v>
      </c>
      <c r="AK4" s="27"/>
      <c r="AL4" s="27"/>
      <c r="AM4" s="27"/>
      <c r="AN4" s="27"/>
      <c r="AO4" s="27"/>
      <c r="AP4" s="27"/>
      <c r="AQ4" s="27"/>
      <c r="AR4" s="27"/>
    </row>
    <row r="5" spans="2:44" x14ac:dyDescent="0.25">
      <c r="K5" s="26"/>
      <c r="L5" s="26"/>
      <c r="M5" s="39"/>
      <c r="N5" s="26"/>
      <c r="O5" s="26"/>
      <c r="P5" s="26"/>
      <c r="Q5" s="26"/>
      <c r="R5" s="26"/>
      <c r="AC5" t="s">
        <v>300</v>
      </c>
      <c r="AK5" s="27"/>
      <c r="AL5" s="27"/>
      <c r="AM5" s="27"/>
      <c r="AN5" s="27"/>
      <c r="AO5" s="27"/>
      <c r="AP5" s="27"/>
      <c r="AQ5" s="27"/>
      <c r="AR5" s="27"/>
    </row>
    <row r="6" spans="2:44" x14ac:dyDescent="0.25">
      <c r="AC6" t="s">
        <v>155</v>
      </c>
      <c r="AK6" s="27"/>
      <c r="AL6" s="27"/>
      <c r="AM6" s="27"/>
      <c r="AN6" s="27"/>
      <c r="AO6" s="27"/>
      <c r="AP6" s="27"/>
      <c r="AQ6" s="27"/>
      <c r="AR6" s="27"/>
    </row>
    <row r="7" spans="2:44" x14ac:dyDescent="0.25">
      <c r="K7" s="70" t="s">
        <v>157</v>
      </c>
      <c r="L7" s="70"/>
      <c r="M7" s="70"/>
      <c r="N7" s="40"/>
      <c r="O7" s="40"/>
      <c r="P7" s="40"/>
      <c r="Q7" s="40"/>
      <c r="R7" s="40"/>
      <c r="S7" s="40"/>
      <c r="AC7" t="s">
        <v>301</v>
      </c>
      <c r="AK7" s="27"/>
      <c r="AL7" s="27"/>
      <c r="AM7" s="27"/>
      <c r="AN7" s="27"/>
      <c r="AO7" s="27"/>
      <c r="AP7" s="27"/>
      <c r="AQ7" s="27"/>
      <c r="AR7" s="27"/>
    </row>
    <row r="8" spans="2:44" ht="18.75" x14ac:dyDescent="0.3">
      <c r="B8" s="41"/>
      <c r="D8" s="41"/>
      <c r="G8" s="41"/>
      <c r="J8" t="s">
        <v>28</v>
      </c>
      <c r="K8" s="6" t="s">
        <v>159</v>
      </c>
      <c r="L8" s="6" t="s">
        <v>160</v>
      </c>
      <c r="M8" s="6" t="s">
        <v>161</v>
      </c>
      <c r="N8" s="42"/>
      <c r="O8" s="43"/>
      <c r="P8" s="42"/>
      <c r="Q8" s="44"/>
      <c r="R8" s="42"/>
      <c r="S8" s="45"/>
      <c r="AC8" t="s">
        <v>302</v>
      </c>
      <c r="AK8" s="27"/>
      <c r="AL8" s="27"/>
      <c r="AM8" s="27"/>
      <c r="AN8" s="27"/>
      <c r="AO8" s="27"/>
      <c r="AP8" s="27"/>
      <c r="AQ8" s="27"/>
      <c r="AR8" s="27"/>
    </row>
    <row r="9" spans="2:44" ht="18.75" x14ac:dyDescent="0.3">
      <c r="B9" s="41"/>
      <c r="D9" s="41"/>
      <c r="G9" s="38"/>
      <c r="K9" s="6" t="s">
        <v>163</v>
      </c>
      <c r="L9" s="46">
        <f>1/M9</f>
        <v>36.153289949385396</v>
      </c>
      <c r="M9" s="46">
        <f>+AD43</f>
        <v>2.7660000000000001E-2</v>
      </c>
      <c r="N9" s="45" t="s">
        <v>28</v>
      </c>
      <c r="O9" s="40"/>
      <c r="P9" s="47"/>
      <c r="Q9" s="48"/>
      <c r="R9" s="47"/>
      <c r="S9" s="40"/>
      <c r="AC9" t="s">
        <v>156</v>
      </c>
      <c r="AK9" s="27"/>
      <c r="AL9" s="27"/>
      <c r="AM9" s="27"/>
      <c r="AN9" s="27"/>
      <c r="AO9" s="27"/>
      <c r="AP9" s="27"/>
      <c r="AQ9" s="27"/>
      <c r="AR9" s="27"/>
    </row>
    <row r="10" spans="2:44" ht="18.75" x14ac:dyDescent="0.3">
      <c r="B10" s="41"/>
      <c r="D10" s="38"/>
      <c r="G10" s="38"/>
      <c r="K10" s="6" t="s">
        <v>165</v>
      </c>
      <c r="L10" s="46">
        <f>+AD52</f>
        <v>0.63527999999999996</v>
      </c>
      <c r="M10" s="46">
        <f>1/L10</f>
        <v>1.5741090542752803</v>
      </c>
      <c r="N10" s="45"/>
      <c r="O10" s="40"/>
      <c r="P10" s="47"/>
      <c r="Q10" s="48"/>
      <c r="R10" s="49"/>
      <c r="S10" s="40"/>
      <c r="AC10" t="s">
        <v>303</v>
      </c>
      <c r="AK10" s="27"/>
      <c r="AL10" s="27"/>
      <c r="AM10" s="27"/>
      <c r="AN10" s="27"/>
      <c r="AO10" s="27"/>
      <c r="AP10" s="27"/>
      <c r="AQ10" s="27"/>
      <c r="AR10" s="27"/>
    </row>
    <row r="11" spans="2:44" ht="18.75" x14ac:dyDescent="0.3">
      <c r="B11" s="41"/>
      <c r="D11" s="38"/>
      <c r="K11" s="6" t="s">
        <v>167</v>
      </c>
      <c r="L11" s="46">
        <f>+AD61</f>
        <v>1.08E-3</v>
      </c>
      <c r="M11" s="46">
        <f>1/L11</f>
        <v>925.92592592592587</v>
      </c>
      <c r="N11" s="45"/>
      <c r="O11" s="40"/>
      <c r="P11" s="47"/>
      <c r="Q11" s="48"/>
      <c r="R11" s="49"/>
      <c r="S11" s="40"/>
      <c r="AC11" t="s">
        <v>304</v>
      </c>
      <c r="AK11" s="27"/>
      <c r="AL11" s="27"/>
      <c r="AM11" s="27"/>
      <c r="AN11" s="27"/>
      <c r="AO11" s="27"/>
      <c r="AP11" s="27"/>
      <c r="AQ11" s="27"/>
      <c r="AR11" s="27"/>
    </row>
    <row r="12" spans="2:44" ht="18.75" x14ac:dyDescent="0.3">
      <c r="B12" s="41"/>
      <c r="D12" s="38"/>
      <c r="K12" s="6" t="s">
        <v>169</v>
      </c>
      <c r="L12" s="50">
        <f>+AD43</f>
        <v>2.7660000000000001E-2</v>
      </c>
      <c r="M12" s="46">
        <f>1/L12</f>
        <v>36.153289949385396</v>
      </c>
      <c r="N12" s="45"/>
      <c r="O12" s="40"/>
      <c r="P12" s="47"/>
      <c r="Q12" s="48"/>
      <c r="R12" s="49"/>
      <c r="S12" s="40"/>
      <c r="AA12" t="s">
        <v>28</v>
      </c>
      <c r="AC12" t="s">
        <v>158</v>
      </c>
      <c r="AK12" s="27"/>
      <c r="AL12" s="27"/>
      <c r="AM12" s="27"/>
      <c r="AN12" s="27"/>
      <c r="AO12" s="27"/>
      <c r="AP12" s="27"/>
      <c r="AQ12" s="27"/>
      <c r="AR12" s="27"/>
    </row>
    <row r="13" spans="2:44" ht="18.75" x14ac:dyDescent="0.3">
      <c r="B13" s="41"/>
      <c r="D13" s="38"/>
      <c r="K13" s="6" t="s">
        <v>171</v>
      </c>
      <c r="L13" s="46">
        <f>+AD46</f>
        <v>9.0509999999999993E-2</v>
      </c>
      <c r="M13" s="46">
        <f>1/L13</f>
        <v>11.048502927853276</v>
      </c>
      <c r="N13" s="45"/>
      <c r="O13" s="40"/>
      <c r="P13" s="47"/>
      <c r="Q13" s="48"/>
      <c r="R13" s="49"/>
      <c r="S13" s="40"/>
      <c r="AA13" t="s">
        <v>28</v>
      </c>
      <c r="AC13" t="s">
        <v>162</v>
      </c>
      <c r="AK13" s="27"/>
      <c r="AL13" s="27"/>
      <c r="AM13" s="27"/>
      <c r="AN13" s="27"/>
      <c r="AO13" s="27"/>
      <c r="AP13" s="27"/>
      <c r="AQ13" s="27"/>
      <c r="AR13" s="27"/>
    </row>
    <row r="14" spans="2:44" ht="18.75" x14ac:dyDescent="0.3">
      <c r="B14" s="41"/>
      <c r="D14" s="38"/>
      <c r="K14" s="6" t="s">
        <v>159</v>
      </c>
      <c r="L14" s="6" t="s">
        <v>173</v>
      </c>
      <c r="M14" s="6" t="s">
        <v>174</v>
      </c>
      <c r="P14" s="47"/>
      <c r="Q14" s="1"/>
      <c r="R14" s="51"/>
      <c r="AB14" t="s">
        <v>28</v>
      </c>
      <c r="AC14" t="s">
        <v>164</v>
      </c>
      <c r="AK14" s="27"/>
      <c r="AL14" s="27"/>
      <c r="AM14" s="27"/>
      <c r="AN14" s="27"/>
      <c r="AO14" s="27"/>
      <c r="AP14" s="27"/>
      <c r="AQ14" s="27"/>
      <c r="AR14" s="27"/>
    </row>
    <row r="15" spans="2:44" ht="18.75" x14ac:dyDescent="0.3">
      <c r="B15" s="41"/>
      <c r="D15" s="38"/>
      <c r="K15" s="2"/>
      <c r="L15" s="52">
        <f>+AE61</f>
        <v>1.1999999999999999E-3</v>
      </c>
      <c r="M15" s="53">
        <f>1/L15</f>
        <v>833.33333333333337</v>
      </c>
      <c r="P15" s="54"/>
      <c r="Q15" s="1"/>
      <c r="R15" s="51"/>
      <c r="AC15" t="s">
        <v>166</v>
      </c>
      <c r="AK15" s="27"/>
      <c r="AL15" s="27"/>
      <c r="AM15" s="27"/>
      <c r="AN15" s="27"/>
      <c r="AO15" s="27"/>
      <c r="AP15" s="27"/>
      <c r="AQ15" s="27"/>
      <c r="AR15" s="27"/>
    </row>
    <row r="16" spans="2:44" ht="18.75" x14ac:dyDescent="0.3">
      <c r="B16" s="41"/>
      <c r="D16" s="38"/>
      <c r="J16" s="55"/>
      <c r="L16" t="s">
        <v>28</v>
      </c>
      <c r="O16" s="47"/>
      <c r="P16" s="48"/>
      <c r="Q16" s="56"/>
      <c r="R16" s="51"/>
      <c r="S16" s="57"/>
      <c r="AC16" t="s">
        <v>168</v>
      </c>
      <c r="AK16" s="27"/>
      <c r="AL16" s="27"/>
      <c r="AM16" s="27"/>
      <c r="AN16" s="27"/>
      <c r="AO16" s="27"/>
      <c r="AP16" s="27"/>
      <c r="AQ16" s="27"/>
      <c r="AR16" s="27"/>
    </row>
    <row r="17" spans="2:44" ht="18.75" x14ac:dyDescent="0.3">
      <c r="B17" s="38"/>
      <c r="D17" s="38"/>
      <c r="J17" s="37"/>
      <c r="M17" t="s">
        <v>28</v>
      </c>
      <c r="P17" s="58"/>
      <c r="R17" s="59"/>
      <c r="S17" s="57"/>
      <c r="AC17" t="s">
        <v>183</v>
      </c>
      <c r="AK17" s="27"/>
      <c r="AL17" s="27"/>
      <c r="AM17" s="27"/>
      <c r="AN17" s="27"/>
      <c r="AO17" s="27"/>
      <c r="AP17" s="27"/>
      <c r="AQ17" s="27"/>
      <c r="AR17" s="27"/>
    </row>
    <row r="18" spans="2:44" ht="18.75" x14ac:dyDescent="0.3">
      <c r="B18" s="38"/>
      <c r="D18" s="38"/>
      <c r="S18" s="29"/>
      <c r="AC18" t="s">
        <v>184</v>
      </c>
      <c r="AK18" s="27"/>
      <c r="AL18" s="27"/>
      <c r="AM18" s="27"/>
      <c r="AN18" s="27"/>
      <c r="AO18" s="27"/>
      <c r="AP18" s="27"/>
      <c r="AQ18" s="27"/>
      <c r="AR18" s="27"/>
    </row>
    <row r="19" spans="2:44" ht="18.75" x14ac:dyDescent="0.3">
      <c r="B19" s="38"/>
      <c r="D19" s="38"/>
      <c r="S19" s="60"/>
      <c r="AC19" t="s">
        <v>185</v>
      </c>
      <c r="AK19" s="27"/>
      <c r="AL19" s="27"/>
      <c r="AM19" s="27"/>
      <c r="AN19" s="27"/>
      <c r="AO19" s="27"/>
      <c r="AP19" s="27"/>
      <c r="AQ19" s="27"/>
      <c r="AR19" s="27"/>
    </row>
    <row r="20" spans="2:44" ht="18.75" x14ac:dyDescent="0.3">
      <c r="B20" s="38"/>
      <c r="D20" s="38"/>
      <c r="AC20" t="s">
        <v>170</v>
      </c>
      <c r="AK20" s="27"/>
      <c r="AL20" s="27"/>
      <c r="AM20" s="27"/>
      <c r="AN20" s="27"/>
      <c r="AO20" s="27"/>
      <c r="AP20" s="27"/>
      <c r="AQ20" s="27"/>
      <c r="AR20" s="27"/>
    </row>
    <row r="21" spans="2:44" x14ac:dyDescent="0.25">
      <c r="AC21" t="s">
        <v>172</v>
      </c>
      <c r="AK21" s="27"/>
      <c r="AL21" s="27"/>
      <c r="AM21" s="27"/>
      <c r="AN21" s="27"/>
      <c r="AO21" s="27"/>
      <c r="AP21" s="27"/>
      <c r="AQ21" s="27"/>
      <c r="AR21" s="27"/>
    </row>
    <row r="22" spans="2:44" x14ac:dyDescent="0.25">
      <c r="AC22" t="s">
        <v>175</v>
      </c>
      <c r="AK22" s="27"/>
      <c r="AL22" s="27"/>
      <c r="AM22" s="27"/>
      <c r="AN22" s="27"/>
      <c r="AO22" s="27"/>
      <c r="AP22" s="27"/>
      <c r="AQ22" s="27"/>
      <c r="AR22" s="27"/>
    </row>
    <row r="23" spans="2:44" x14ac:dyDescent="0.25">
      <c r="AC23" t="s">
        <v>176</v>
      </c>
      <c r="AK23" s="27"/>
      <c r="AL23" s="27"/>
      <c r="AM23" s="27"/>
      <c r="AN23" s="27"/>
      <c r="AO23" s="27"/>
      <c r="AP23" s="27"/>
      <c r="AQ23" s="27"/>
      <c r="AR23" s="27"/>
    </row>
    <row r="24" spans="2:44" x14ac:dyDescent="0.25">
      <c r="AC24" t="s">
        <v>186</v>
      </c>
      <c r="AK24" s="27"/>
      <c r="AL24" s="27"/>
      <c r="AM24" s="27"/>
      <c r="AN24" s="27"/>
      <c r="AO24" s="27"/>
      <c r="AP24" s="27"/>
      <c r="AQ24" s="27"/>
      <c r="AR24" s="27"/>
    </row>
    <row r="25" spans="2:44" x14ac:dyDescent="0.25">
      <c r="AC25" t="s">
        <v>187</v>
      </c>
      <c r="AK25" s="27"/>
      <c r="AL25" s="27"/>
      <c r="AM25" s="27"/>
      <c r="AN25" s="27"/>
      <c r="AO25" s="27"/>
      <c r="AP25" s="27"/>
      <c r="AQ25" s="27"/>
      <c r="AR25" s="27"/>
    </row>
    <row r="26" spans="2:44" x14ac:dyDescent="0.25">
      <c r="AC26" s="28" t="s">
        <v>177</v>
      </c>
      <c r="AK26" s="27"/>
      <c r="AL26" s="27"/>
      <c r="AM26" s="27"/>
      <c r="AN26" s="27"/>
      <c r="AO26" s="27"/>
      <c r="AP26" s="27"/>
      <c r="AQ26" s="27"/>
      <c r="AR26" s="27"/>
    </row>
    <row r="27" spans="2:44" x14ac:dyDescent="0.25">
      <c r="AC27" t="s">
        <v>188</v>
      </c>
      <c r="AK27" s="27"/>
      <c r="AL27" s="27"/>
      <c r="AM27" s="27"/>
      <c r="AN27" s="27"/>
      <c r="AO27" s="27"/>
      <c r="AP27" s="27"/>
      <c r="AQ27" s="27"/>
      <c r="AR27" s="27"/>
    </row>
    <row r="28" spans="2:44" x14ac:dyDescent="0.25">
      <c r="AC28" t="s">
        <v>189</v>
      </c>
      <c r="AK28" s="27"/>
      <c r="AL28" s="27"/>
      <c r="AM28" s="27"/>
      <c r="AN28" s="27"/>
      <c r="AO28" s="27"/>
      <c r="AP28" s="27"/>
      <c r="AQ28" s="27"/>
      <c r="AR28" s="27"/>
    </row>
    <row r="29" spans="2:44" x14ac:dyDescent="0.25">
      <c r="AC29" t="s">
        <v>190</v>
      </c>
      <c r="AK29" s="27"/>
      <c r="AL29" s="27"/>
      <c r="AM29" s="27"/>
      <c r="AN29" s="27"/>
      <c r="AO29" s="27"/>
      <c r="AP29" s="27"/>
      <c r="AQ29" s="27"/>
      <c r="AR29" s="27"/>
    </row>
    <row r="30" spans="2:44" x14ac:dyDescent="0.25">
      <c r="AC30" t="s">
        <v>191</v>
      </c>
      <c r="AK30" s="27"/>
      <c r="AL30" s="27"/>
      <c r="AM30" s="27"/>
      <c r="AN30" s="27"/>
      <c r="AO30" s="27"/>
      <c r="AP30" s="27"/>
      <c r="AQ30" s="27"/>
      <c r="AR30" s="27"/>
    </row>
    <row r="31" spans="2:44" x14ac:dyDescent="0.25">
      <c r="AC31" s="28" t="s">
        <v>178</v>
      </c>
      <c r="AK31" s="27"/>
      <c r="AL31" s="27"/>
      <c r="AM31" s="27"/>
      <c r="AN31" s="27"/>
      <c r="AO31" s="27"/>
      <c r="AP31" s="27"/>
      <c r="AQ31" s="27"/>
      <c r="AR31" s="27"/>
    </row>
    <row r="32" spans="2:44" x14ac:dyDescent="0.25">
      <c r="AC32" t="s">
        <v>179</v>
      </c>
      <c r="AK32" s="27"/>
      <c r="AL32" s="27"/>
      <c r="AM32" s="27"/>
      <c r="AN32" s="27"/>
      <c r="AO32" s="27"/>
      <c r="AP32" s="27"/>
      <c r="AQ32" s="27"/>
      <c r="AR32" s="27"/>
    </row>
    <row r="33" spans="26:44" x14ac:dyDescent="0.25">
      <c r="AC33" t="s">
        <v>180</v>
      </c>
      <c r="AK33" s="27"/>
      <c r="AL33" s="27"/>
      <c r="AM33" s="27"/>
      <c r="AN33" s="27"/>
      <c r="AO33" s="27"/>
      <c r="AP33" s="27"/>
      <c r="AQ33" s="27"/>
      <c r="AR33" s="27"/>
    </row>
    <row r="34" spans="26:44" x14ac:dyDescent="0.25">
      <c r="AC34" s="28" t="s">
        <v>181</v>
      </c>
      <c r="AK34" s="27"/>
      <c r="AL34" s="27"/>
      <c r="AM34" s="27"/>
      <c r="AN34" s="27"/>
      <c r="AO34" s="27"/>
      <c r="AP34" s="27"/>
      <c r="AQ34" s="27"/>
      <c r="AR34" s="27"/>
    </row>
    <row r="35" spans="26:44" x14ac:dyDescent="0.25">
      <c r="AC35" t="s">
        <v>182</v>
      </c>
      <c r="AK35" s="27"/>
      <c r="AL35" s="27"/>
      <c r="AM35" s="27"/>
      <c r="AN35" s="27"/>
      <c r="AO35" s="27"/>
      <c r="AP35" s="27"/>
      <c r="AQ35" s="27"/>
      <c r="AR35" s="27"/>
    </row>
    <row r="36" spans="26:44" x14ac:dyDescent="0.25">
      <c r="AC36" t="s">
        <v>192</v>
      </c>
      <c r="AK36" s="27"/>
      <c r="AL36" s="27"/>
      <c r="AM36" s="27"/>
      <c r="AN36" s="27"/>
      <c r="AO36" s="27"/>
      <c r="AP36" s="27"/>
      <c r="AQ36" s="27"/>
      <c r="AR36" s="27"/>
    </row>
    <row r="37" spans="26:44" x14ac:dyDescent="0.25">
      <c r="AC37" t="s">
        <v>193</v>
      </c>
      <c r="AK37" s="61"/>
      <c r="AL37" s="62"/>
      <c r="AM37" s="61"/>
      <c r="AN37" s="61"/>
      <c r="AO37" s="61"/>
      <c r="AP37" s="27"/>
      <c r="AQ37" s="27"/>
      <c r="AR37" s="27"/>
    </row>
    <row r="38" spans="26:44" x14ac:dyDescent="0.25">
      <c r="AC38" t="s">
        <v>194</v>
      </c>
      <c r="AK38" s="27"/>
      <c r="AL38" s="27"/>
      <c r="AM38" s="27"/>
      <c r="AN38" s="27"/>
      <c r="AO38" s="27"/>
      <c r="AP38" s="27"/>
      <c r="AQ38" s="27"/>
      <c r="AR38" s="27"/>
    </row>
    <row r="39" spans="26:44" x14ac:dyDescent="0.25">
      <c r="AC39" t="s">
        <v>195</v>
      </c>
      <c r="AJ39" s="63"/>
      <c r="AK39" s="27"/>
      <c r="AL39" s="27" t="s">
        <v>28</v>
      </c>
      <c r="AM39" s="27"/>
      <c r="AN39" s="27"/>
      <c r="AO39" s="27"/>
      <c r="AP39" s="27"/>
      <c r="AQ39" s="27"/>
      <c r="AR39" s="27"/>
    </row>
    <row r="40" spans="26:44" x14ac:dyDescent="0.25">
      <c r="AC40" s="28" t="s">
        <v>196</v>
      </c>
      <c r="AK40" s="27"/>
      <c r="AL40" s="27"/>
      <c r="AM40" s="27"/>
      <c r="AN40" s="27"/>
      <c r="AO40" s="27"/>
      <c r="AP40" s="27"/>
      <c r="AQ40" s="27"/>
      <c r="AR40" s="27"/>
    </row>
    <row r="41" spans="26:44" x14ac:dyDescent="0.25">
      <c r="Z41" t="s">
        <v>28</v>
      </c>
      <c r="AC41" t="s">
        <v>305</v>
      </c>
      <c r="AK41" s="27"/>
      <c r="AL41" s="27"/>
      <c r="AM41" s="27"/>
      <c r="AN41" s="27"/>
      <c r="AO41" s="27"/>
      <c r="AP41" s="27"/>
      <c r="AQ41" s="27"/>
      <c r="AR41" s="27"/>
    </row>
    <row r="42" spans="26:44" x14ac:dyDescent="0.25">
      <c r="AD42" t="s">
        <v>197</v>
      </c>
      <c r="AE42" t="s">
        <v>163</v>
      </c>
      <c r="AF42" t="s">
        <v>165</v>
      </c>
      <c r="AG42" t="s">
        <v>198</v>
      </c>
      <c r="AH42" t="s">
        <v>199</v>
      </c>
      <c r="AI42" t="s">
        <v>200</v>
      </c>
      <c r="AJ42" s="27" t="s">
        <v>201</v>
      </c>
      <c r="AK42" s="27" t="s">
        <v>171</v>
      </c>
      <c r="AL42" s="27"/>
      <c r="AM42" s="27"/>
      <c r="AN42" s="27"/>
      <c r="AO42" s="27"/>
      <c r="AP42" s="27"/>
      <c r="AQ42" s="27"/>
      <c r="AR42" s="27"/>
    </row>
    <row r="43" spans="26:44" x14ac:dyDescent="0.25">
      <c r="AC43" t="s">
        <v>202</v>
      </c>
      <c r="AD43">
        <v>2.7660000000000001E-2</v>
      </c>
      <c r="AE43">
        <v>3.0550000000000001E-2</v>
      </c>
      <c r="AF43">
        <v>2.9239999999999999E-2</v>
      </c>
      <c r="AG43">
        <v>2.461E-2</v>
      </c>
      <c r="AH43">
        <v>4.326E-2</v>
      </c>
      <c r="AI43">
        <v>3.3020800000000001</v>
      </c>
      <c r="AJ43" s="27">
        <v>4.9889999999999997E-2</v>
      </c>
      <c r="AK43" s="27">
        <v>0.23691000000000001</v>
      </c>
      <c r="AL43" s="27"/>
      <c r="AM43" s="27"/>
      <c r="AN43" s="27"/>
      <c r="AO43" s="27"/>
      <c r="AP43" s="27"/>
      <c r="AQ43" s="27"/>
      <c r="AR43" s="27"/>
    </row>
    <row r="44" spans="26:44" x14ac:dyDescent="0.25">
      <c r="AC44" t="s">
        <v>203</v>
      </c>
      <c r="AD44">
        <v>0.13392999999999999</v>
      </c>
      <c r="AE44">
        <v>0.14793000000000001</v>
      </c>
      <c r="AF44">
        <v>0.1416</v>
      </c>
      <c r="AG44">
        <v>0.11915000000000001</v>
      </c>
      <c r="AH44">
        <v>0.20943999999999999</v>
      </c>
      <c r="AI44">
        <v>15.98836</v>
      </c>
      <c r="AJ44" s="27">
        <v>0.24157999999999999</v>
      </c>
      <c r="AK44" s="27">
        <v>1.14707</v>
      </c>
      <c r="AL44" s="27"/>
      <c r="AM44" s="27"/>
      <c r="AN44" s="27"/>
      <c r="AO44" s="27"/>
      <c r="AP44" s="27"/>
      <c r="AQ44" s="27"/>
      <c r="AR44" s="27"/>
    </row>
    <row r="45" spans="26:44" x14ac:dyDescent="0.25">
      <c r="AC45" t="s">
        <v>204</v>
      </c>
      <c r="AD45">
        <v>8.5360000000000005E-2</v>
      </c>
      <c r="AE45">
        <v>9.4289999999999999E-2</v>
      </c>
      <c r="AF45">
        <v>9.0249999999999997E-2</v>
      </c>
      <c r="AG45">
        <v>7.5950000000000004E-2</v>
      </c>
      <c r="AH45">
        <v>0.13349</v>
      </c>
      <c r="AI45">
        <v>10.19068</v>
      </c>
      <c r="AJ45" s="27">
        <v>0.15398000000000001</v>
      </c>
      <c r="AK45" s="27">
        <v>0.73111999999999999</v>
      </c>
      <c r="AL45" s="27"/>
      <c r="AM45" s="27"/>
      <c r="AN45" s="27"/>
      <c r="AO45" s="27"/>
      <c r="AP45" s="27"/>
      <c r="AQ45" s="27"/>
      <c r="AR45" s="27"/>
    </row>
    <row r="46" spans="26:44" x14ac:dyDescent="0.25">
      <c r="AC46" t="s">
        <v>205</v>
      </c>
      <c r="AD46">
        <v>9.0509999999999993E-2</v>
      </c>
      <c r="AE46">
        <v>9.9979999999999999E-2</v>
      </c>
      <c r="AF46">
        <v>9.5689999999999997E-2</v>
      </c>
      <c r="AG46">
        <v>8.0530000000000004E-2</v>
      </c>
      <c r="AH46">
        <v>0.14155000000000001</v>
      </c>
      <c r="AI46">
        <v>10.805389999999999</v>
      </c>
      <c r="AJ46" s="27">
        <v>0.16327</v>
      </c>
      <c r="AK46" s="27">
        <v>0.77522999999999997</v>
      </c>
      <c r="AL46" s="27"/>
      <c r="AM46" s="27"/>
      <c r="AN46" s="27"/>
      <c r="AO46" s="27"/>
      <c r="AP46" s="27"/>
      <c r="AQ46" s="27"/>
      <c r="AR46" s="27"/>
    </row>
    <row r="47" spans="26:44" x14ac:dyDescent="0.25">
      <c r="AC47" t="s">
        <v>206</v>
      </c>
      <c r="AD47">
        <v>3.6609999999999997E-2</v>
      </c>
      <c r="AE47">
        <v>4.0439999999999997E-2</v>
      </c>
      <c r="AF47">
        <v>3.8710000000000001E-2</v>
      </c>
      <c r="AG47">
        <v>3.2570000000000002E-2</v>
      </c>
      <c r="AH47">
        <v>5.7250000000000002E-2</v>
      </c>
      <c r="AI47">
        <v>4.3703900000000004</v>
      </c>
      <c r="AJ47" s="27">
        <v>6.6040000000000001E-2</v>
      </c>
      <c r="AK47" s="27">
        <v>0.31355</v>
      </c>
      <c r="AL47" s="27"/>
      <c r="AM47" s="27"/>
      <c r="AN47" s="27"/>
      <c r="AO47" s="27"/>
      <c r="AP47" s="27"/>
      <c r="AQ47" s="27"/>
      <c r="AR47" s="27"/>
    </row>
    <row r="48" spans="26:44" x14ac:dyDescent="0.25">
      <c r="AC48" t="s">
        <v>207</v>
      </c>
      <c r="AD48">
        <v>0.90532000000000001</v>
      </c>
      <c r="AE48">
        <v>1</v>
      </c>
      <c r="AF48">
        <v>0.95713999999999999</v>
      </c>
      <c r="AG48">
        <v>0.80549999999999999</v>
      </c>
      <c r="AH48">
        <v>1.4158299999999999</v>
      </c>
      <c r="AI48">
        <v>108.07728</v>
      </c>
      <c r="AJ48" s="27">
        <v>1.63344</v>
      </c>
      <c r="AK48" s="27">
        <v>7.7539300000000004</v>
      </c>
      <c r="AL48" s="27"/>
      <c r="AM48" s="27"/>
      <c r="AN48" s="27"/>
      <c r="AO48" s="27"/>
      <c r="AP48" s="27"/>
      <c r="AQ48" s="27"/>
      <c r="AR48" s="27"/>
    </row>
    <row r="49" spans="29:44" x14ac:dyDescent="0.25">
      <c r="AC49" s="28" t="s">
        <v>208</v>
      </c>
      <c r="AD49">
        <v>0.55439000000000005</v>
      </c>
      <c r="AE49">
        <v>0.61219999999999997</v>
      </c>
      <c r="AF49">
        <v>0.58613000000000004</v>
      </c>
      <c r="AG49">
        <v>0.49323</v>
      </c>
      <c r="AH49">
        <v>0.86697000000000002</v>
      </c>
      <c r="AI49">
        <v>66.182869999999994</v>
      </c>
      <c r="AJ49" s="27">
        <v>1</v>
      </c>
      <c r="AK49" s="27">
        <v>4.7482499999999996</v>
      </c>
      <c r="AL49" s="27"/>
      <c r="AM49" s="27"/>
      <c r="AN49" s="27"/>
      <c r="AO49" s="27"/>
      <c r="AP49" s="27"/>
      <c r="AQ49" s="27"/>
      <c r="AR49" s="27"/>
    </row>
    <row r="50" spans="29:44" x14ac:dyDescent="0.25">
      <c r="AC50" t="s">
        <v>209</v>
      </c>
      <c r="AD50">
        <v>0.63944999999999996</v>
      </c>
      <c r="AE50">
        <v>0.70630000000000004</v>
      </c>
      <c r="AF50">
        <v>0.67605999999999999</v>
      </c>
      <c r="AG50">
        <v>0.56891000000000003</v>
      </c>
      <c r="AH50">
        <v>1</v>
      </c>
      <c r="AI50">
        <v>76.337729999999993</v>
      </c>
      <c r="AJ50" s="27">
        <v>1.15344</v>
      </c>
      <c r="AK50" s="27">
        <v>5.4767999999999999</v>
      </c>
      <c r="AL50" s="27"/>
      <c r="AM50" s="27"/>
      <c r="AN50" s="27"/>
      <c r="AO50" s="27"/>
      <c r="AP50" s="27"/>
      <c r="AQ50" s="27"/>
      <c r="AR50" s="27"/>
    </row>
    <row r="51" spans="29:44" x14ac:dyDescent="0.25">
      <c r="AC51" t="s">
        <v>210</v>
      </c>
      <c r="AD51">
        <v>0.11676</v>
      </c>
      <c r="AE51">
        <v>0.12897</v>
      </c>
      <c r="AF51">
        <v>0.12343999999999999</v>
      </c>
      <c r="AG51">
        <v>0.10388</v>
      </c>
      <c r="AH51">
        <v>0.18259</v>
      </c>
      <c r="AI51">
        <v>13.93838</v>
      </c>
      <c r="AJ51" s="27">
        <v>0.21060000000000001</v>
      </c>
      <c r="AK51" s="27">
        <v>1</v>
      </c>
      <c r="AL51" s="27"/>
      <c r="AM51" s="27"/>
      <c r="AN51" s="27"/>
      <c r="AO51" s="27"/>
      <c r="AP51" s="27"/>
      <c r="AQ51" s="27"/>
      <c r="AR51" s="27"/>
    </row>
    <row r="52" spans="29:44" x14ac:dyDescent="0.25">
      <c r="AC52" t="s">
        <v>211</v>
      </c>
      <c r="AD52">
        <v>0.63527999999999996</v>
      </c>
      <c r="AE52">
        <v>0.70170999999999994</v>
      </c>
      <c r="AF52">
        <v>0.67164999999999997</v>
      </c>
      <c r="AG52">
        <v>0.56518999999999997</v>
      </c>
      <c r="AH52">
        <v>0.99346999999999996</v>
      </c>
      <c r="AI52">
        <v>75.839200000000005</v>
      </c>
      <c r="AJ52" s="27">
        <v>1.1458999999999999</v>
      </c>
      <c r="AK52" s="27">
        <v>5.4410299999999996</v>
      </c>
      <c r="AL52" s="27"/>
      <c r="AM52" s="27"/>
      <c r="AN52" s="27"/>
      <c r="AO52" s="27"/>
      <c r="AP52" s="27"/>
      <c r="AQ52" s="27"/>
      <c r="AR52" s="27"/>
    </row>
    <row r="53" spans="29:44" x14ac:dyDescent="0.25">
      <c r="AC53" t="s">
        <v>212</v>
      </c>
      <c r="AD53">
        <v>0.54295000000000004</v>
      </c>
      <c r="AE53">
        <v>0.59965999999999997</v>
      </c>
      <c r="AF53">
        <v>0.57403999999999999</v>
      </c>
      <c r="AG53">
        <v>0.48304999999999998</v>
      </c>
      <c r="AH53">
        <v>0.84909000000000001</v>
      </c>
      <c r="AI53">
        <v>64.81738</v>
      </c>
      <c r="AJ53" s="27">
        <v>0.97936999999999996</v>
      </c>
      <c r="AK53" s="27">
        <v>4.6502800000000004</v>
      </c>
      <c r="AL53" s="27"/>
      <c r="AM53" s="27"/>
      <c r="AN53" s="27"/>
      <c r="AO53" s="27"/>
      <c r="AP53" s="27"/>
      <c r="AQ53" s="27"/>
      <c r="AR53" s="27"/>
    </row>
    <row r="54" spans="29:44" x14ac:dyDescent="0.25">
      <c r="AC54" t="s">
        <v>213</v>
      </c>
      <c r="AD54">
        <v>2.9850000000000002E-2</v>
      </c>
      <c r="AE54">
        <v>3.2969999999999999E-2</v>
      </c>
      <c r="AF54">
        <v>3.1559999999999998E-2</v>
      </c>
      <c r="AG54">
        <v>2.656E-2</v>
      </c>
      <c r="AH54">
        <v>4.6679999999999999E-2</v>
      </c>
      <c r="AI54">
        <v>3.5636999999999999</v>
      </c>
      <c r="AJ54" s="27">
        <v>5.3850000000000002E-2</v>
      </c>
      <c r="AK54" s="27">
        <v>0.25568000000000002</v>
      </c>
      <c r="AL54" s="27"/>
      <c r="AM54" s="27"/>
      <c r="AN54" s="27"/>
      <c r="AO54" s="27"/>
      <c r="AP54" s="27"/>
      <c r="AQ54" s="27"/>
      <c r="AR54" s="27"/>
    </row>
    <row r="55" spans="29:44" x14ac:dyDescent="0.25">
      <c r="AC55" t="s">
        <v>214</v>
      </c>
      <c r="AD55">
        <v>1</v>
      </c>
      <c r="AE55">
        <v>1.1045799999999999</v>
      </c>
      <c r="AF55">
        <v>1.0572600000000001</v>
      </c>
      <c r="AG55">
        <v>0.88968000000000003</v>
      </c>
      <c r="AH55">
        <v>1.5638399999999999</v>
      </c>
      <c r="AI55">
        <v>119.38</v>
      </c>
      <c r="AJ55" s="27">
        <v>1.80379</v>
      </c>
      <c r="AK55" s="27">
        <v>8.5648400000000002</v>
      </c>
      <c r="AL55" s="27"/>
      <c r="AM55" s="27"/>
      <c r="AN55" s="27"/>
      <c r="AO55" s="27"/>
      <c r="AP55" s="27"/>
      <c r="AQ55" s="27"/>
      <c r="AR55" s="27"/>
    </row>
    <row r="56" spans="29:44" x14ac:dyDescent="0.25">
      <c r="AC56" t="s">
        <v>215</v>
      </c>
      <c r="AD56">
        <v>2.7899999999999999E-3</v>
      </c>
      <c r="AE56">
        <v>3.0799999999999998E-3</v>
      </c>
      <c r="AF56">
        <v>2.9499999999999999E-3</v>
      </c>
      <c r="AG56">
        <v>2.48E-3</v>
      </c>
      <c r="AH56">
        <v>4.3600000000000002E-3</v>
      </c>
      <c r="AI56">
        <v>0.33282</v>
      </c>
      <c r="AJ56" s="27">
        <v>5.0299999999999997E-3</v>
      </c>
      <c r="AK56" s="27">
        <v>2.3879999999999998E-2</v>
      </c>
      <c r="AL56" s="27"/>
      <c r="AM56" s="27"/>
      <c r="AN56" s="27"/>
      <c r="AO56" s="27"/>
      <c r="AP56" s="27"/>
      <c r="AQ56" s="27"/>
      <c r="AR56" s="27"/>
    </row>
    <row r="57" spans="29:44" x14ac:dyDescent="0.25">
      <c r="AC57" t="s">
        <v>216</v>
      </c>
      <c r="AD57">
        <v>0.94584999999999997</v>
      </c>
      <c r="AE57">
        <v>1.04478</v>
      </c>
      <c r="AF57">
        <v>1</v>
      </c>
      <c r="AG57">
        <v>0.84150000000000003</v>
      </c>
      <c r="AH57">
        <v>1.47915</v>
      </c>
      <c r="AI57">
        <v>112.91504999999999</v>
      </c>
      <c r="AJ57" s="27">
        <v>1.70611</v>
      </c>
      <c r="AK57" s="27">
        <v>8.1010200000000001</v>
      </c>
      <c r="AL57" s="27"/>
      <c r="AM57" s="27"/>
      <c r="AN57" s="27"/>
      <c r="AO57" s="27"/>
      <c r="AP57" s="27"/>
      <c r="AQ57" s="27"/>
      <c r="AR57" s="27"/>
    </row>
    <row r="58" spans="29:44" x14ac:dyDescent="0.25">
      <c r="AC58" t="s">
        <v>217</v>
      </c>
      <c r="AD58">
        <v>0.13794000000000001</v>
      </c>
      <c r="AE58">
        <v>0.15237000000000001</v>
      </c>
      <c r="AF58">
        <v>0.14584</v>
      </c>
      <c r="AG58">
        <v>0.12272</v>
      </c>
      <c r="AH58">
        <v>0.21572</v>
      </c>
      <c r="AI58">
        <v>16.467559999999999</v>
      </c>
      <c r="AJ58" s="27">
        <v>0.24882000000000001</v>
      </c>
      <c r="AK58" s="27">
        <v>1.1814499999999999</v>
      </c>
      <c r="AL58" s="27"/>
      <c r="AM58" s="27"/>
      <c r="AN58" s="27"/>
      <c r="AO58" s="27"/>
      <c r="AP58" s="27"/>
      <c r="AQ58" s="27"/>
      <c r="AR58" s="27"/>
    </row>
    <row r="59" spans="29:44" x14ac:dyDescent="0.25">
      <c r="AC59" t="s">
        <v>218</v>
      </c>
      <c r="AD59">
        <v>1.1240000000000001</v>
      </c>
      <c r="AE59">
        <v>1.24146</v>
      </c>
      <c r="AF59">
        <v>1.18835</v>
      </c>
      <c r="AG59">
        <v>1</v>
      </c>
      <c r="AH59">
        <v>1.75776</v>
      </c>
      <c r="AI59">
        <v>134.18307999999999</v>
      </c>
      <c r="AJ59" s="27">
        <v>2.02746</v>
      </c>
      <c r="AK59" s="27">
        <v>9.6268799999999999</v>
      </c>
      <c r="AL59" s="27"/>
      <c r="AM59" s="27"/>
      <c r="AN59" s="27"/>
      <c r="AO59" s="27"/>
      <c r="AP59" s="27"/>
      <c r="AQ59" s="27"/>
      <c r="AR59" s="27"/>
    </row>
    <row r="60" spans="29:44" x14ac:dyDescent="0.25">
      <c r="AC60" t="s">
        <v>219</v>
      </c>
      <c r="AD60">
        <v>0.25255</v>
      </c>
      <c r="AE60">
        <v>0.27895999999999999</v>
      </c>
      <c r="AF60">
        <v>0.26701000000000003</v>
      </c>
      <c r="AG60">
        <v>0.22469</v>
      </c>
      <c r="AH60">
        <v>0.39495000000000002</v>
      </c>
      <c r="AI60">
        <v>30.149509999999999</v>
      </c>
      <c r="AJ60" s="27">
        <v>0.45555000000000001</v>
      </c>
      <c r="AK60" s="27">
        <v>2.1630600000000002</v>
      </c>
      <c r="AL60" s="27"/>
      <c r="AM60" s="27"/>
      <c r="AN60" s="27"/>
      <c r="AO60" s="27"/>
      <c r="AP60" s="27"/>
      <c r="AQ60" s="27"/>
      <c r="AR60" s="27"/>
    </row>
    <row r="61" spans="29:44" x14ac:dyDescent="0.25">
      <c r="AC61" t="s">
        <v>220</v>
      </c>
      <c r="AD61">
        <v>1.08E-3</v>
      </c>
      <c r="AE61">
        <v>1.1999999999999999E-3</v>
      </c>
      <c r="AF61">
        <v>1.14E-3</v>
      </c>
      <c r="AG61">
        <v>9.6000000000000002E-4</v>
      </c>
      <c r="AH61">
        <v>1.6900000000000001E-3</v>
      </c>
      <c r="AI61">
        <v>0.12920000000000001</v>
      </c>
      <c r="AJ61" s="27">
        <v>1.9499999999999999E-3</v>
      </c>
      <c r="AK61" s="27">
        <v>9.2700000000000005E-3</v>
      </c>
      <c r="AL61" s="27"/>
      <c r="AM61" s="27"/>
      <c r="AN61" s="27"/>
      <c r="AO61" s="27"/>
      <c r="AP61" s="27"/>
      <c r="AQ61" s="27"/>
      <c r="AR61" s="27"/>
    </row>
    <row r="62" spans="29:44" x14ac:dyDescent="0.25">
      <c r="AC62" t="s">
        <v>221</v>
      </c>
      <c r="AD62">
        <v>3.805E-2</v>
      </c>
      <c r="AE62">
        <v>4.2029999999999998E-2</v>
      </c>
      <c r="AF62">
        <v>4.0230000000000002E-2</v>
      </c>
      <c r="AG62">
        <v>3.3849999999999998E-2</v>
      </c>
      <c r="AH62">
        <v>5.951E-2</v>
      </c>
      <c r="AI62">
        <v>4.5427299999999997</v>
      </c>
      <c r="AJ62" s="27">
        <v>6.8640000000000007E-2</v>
      </c>
      <c r="AK62" s="27">
        <v>0.32591999999999999</v>
      </c>
      <c r="AL62" s="27"/>
      <c r="AM62" s="27"/>
      <c r="AN62" s="27"/>
      <c r="AO62" s="27"/>
      <c r="AP62" s="27"/>
      <c r="AQ62" s="27"/>
      <c r="AR62" s="27"/>
    </row>
    <row r="63" spans="29:44" x14ac:dyDescent="0.25">
      <c r="AC63" t="s">
        <v>222</v>
      </c>
      <c r="AD63">
        <v>1.7760000000000001E-2</v>
      </c>
      <c r="AE63">
        <v>1.9619999999999999E-2</v>
      </c>
      <c r="AF63">
        <v>1.8780000000000002E-2</v>
      </c>
      <c r="AG63">
        <v>1.5800000000000002E-2</v>
      </c>
      <c r="AH63">
        <v>2.777E-2</v>
      </c>
      <c r="AI63">
        <v>2.1200899999999998</v>
      </c>
      <c r="AJ63" s="27">
        <v>3.2030000000000003E-2</v>
      </c>
      <c r="AK63" s="27">
        <v>0.15210000000000001</v>
      </c>
      <c r="AL63" s="27"/>
      <c r="AM63" s="27"/>
      <c r="AN63" s="27"/>
      <c r="AO63" s="27"/>
      <c r="AP63" s="27"/>
      <c r="AQ63" s="27"/>
      <c r="AR63" s="27"/>
    </row>
    <row r="64" spans="29:44" x14ac:dyDescent="0.25">
      <c r="AC64" t="s">
        <v>223</v>
      </c>
      <c r="AD64">
        <v>5.067E-2</v>
      </c>
      <c r="AE64">
        <v>5.5969999999999999E-2</v>
      </c>
      <c r="AF64">
        <v>5.3580000000000003E-2</v>
      </c>
      <c r="AG64">
        <v>4.5080000000000002E-2</v>
      </c>
      <c r="AH64">
        <v>7.9250000000000001E-2</v>
      </c>
      <c r="AI64">
        <v>6.0495700000000001</v>
      </c>
      <c r="AJ64" s="27">
        <v>9.1410000000000005E-2</v>
      </c>
      <c r="AK64" s="27">
        <v>0.43402000000000002</v>
      </c>
      <c r="AL64" s="27"/>
      <c r="AM64" s="27"/>
      <c r="AN64" s="27"/>
      <c r="AO64" s="27"/>
      <c r="AP64" s="27"/>
      <c r="AQ64" s="27"/>
      <c r="AR64" s="27"/>
    </row>
    <row r="65" spans="29:44" x14ac:dyDescent="0.25">
      <c r="AC65" t="s">
        <v>224</v>
      </c>
      <c r="AD65">
        <v>0.17682</v>
      </c>
      <c r="AE65">
        <v>0.19531000000000001</v>
      </c>
      <c r="AF65">
        <v>0.18694</v>
      </c>
      <c r="AG65">
        <v>0.15731000000000001</v>
      </c>
      <c r="AH65">
        <v>0.27651999999999999</v>
      </c>
      <c r="AI65">
        <v>21.10866</v>
      </c>
      <c r="AJ65" s="27">
        <v>0.31894</v>
      </c>
      <c r="AK65" s="27">
        <v>1.5144299999999999</v>
      </c>
      <c r="AL65" s="27"/>
      <c r="AM65" s="27"/>
      <c r="AN65" s="27"/>
      <c r="AO65" s="27"/>
      <c r="AP65" s="27"/>
      <c r="AQ65" s="27"/>
      <c r="AR65" s="27"/>
    </row>
    <row r="66" spans="29:44" x14ac:dyDescent="0.25">
      <c r="AC66" t="s">
        <v>225</v>
      </c>
      <c r="AD66">
        <v>0.12753</v>
      </c>
      <c r="AE66">
        <v>0.14087</v>
      </c>
      <c r="AF66">
        <v>0.13483999999999999</v>
      </c>
      <c r="AG66">
        <v>0.11346000000000001</v>
      </c>
      <c r="AH66">
        <v>0.19944000000000001</v>
      </c>
      <c r="AI66">
        <v>15.2249</v>
      </c>
      <c r="AJ66" s="27">
        <v>0.23003999999999999</v>
      </c>
      <c r="AK66" s="27">
        <v>1.0923</v>
      </c>
      <c r="AL66" s="27"/>
      <c r="AM66" s="27"/>
      <c r="AN66" s="27"/>
      <c r="AO66" s="27"/>
      <c r="AP66" s="27"/>
      <c r="AQ66" s="27"/>
      <c r="AR66" s="27"/>
    </row>
    <row r="67" spans="29:44" x14ac:dyDescent="0.25">
      <c r="AC67" t="s">
        <v>226</v>
      </c>
      <c r="AD67">
        <v>0.20855000000000001</v>
      </c>
      <c r="AE67">
        <v>0.23036000000000001</v>
      </c>
      <c r="AF67">
        <v>0.22048999999999999</v>
      </c>
      <c r="AG67">
        <v>0.18554000000000001</v>
      </c>
      <c r="AH67">
        <v>0.32612999999999998</v>
      </c>
      <c r="AI67">
        <v>24.896249999999998</v>
      </c>
      <c r="AJ67" s="27">
        <v>0.37617</v>
      </c>
      <c r="AK67" s="27">
        <v>1.78617</v>
      </c>
      <c r="AL67" s="27"/>
      <c r="AM67" s="27"/>
      <c r="AN67" s="27"/>
      <c r="AO67" s="27"/>
      <c r="AP67" s="27"/>
      <c r="AQ67" s="27"/>
      <c r="AR67" s="27"/>
    </row>
    <row r="68" spans="29:44" x14ac:dyDescent="0.25">
      <c r="AC68" t="s">
        <v>227</v>
      </c>
      <c r="AD68">
        <v>1.1339999999999999E-2</v>
      </c>
      <c r="AE68">
        <v>1.252E-2</v>
      </c>
      <c r="AF68">
        <v>1.1990000000000001E-2</v>
      </c>
      <c r="AG68">
        <v>1.009E-2</v>
      </c>
      <c r="AH68">
        <v>1.7729999999999999E-2</v>
      </c>
      <c r="AI68">
        <v>1.3533900000000001</v>
      </c>
      <c r="AJ68" s="27">
        <v>2.0449999999999999E-2</v>
      </c>
      <c r="AK68">
        <v>9.7100000000000006E-2</v>
      </c>
    </row>
    <row r="69" spans="29:44" x14ac:dyDescent="0.25">
      <c r="AC69" t="s">
        <v>228</v>
      </c>
      <c r="AD69">
        <v>1.197E-2</v>
      </c>
      <c r="AE69">
        <v>1.3220000000000001E-2</v>
      </c>
      <c r="AF69">
        <v>1.265E-2</v>
      </c>
      <c r="AG69">
        <v>1.065E-2</v>
      </c>
      <c r="AH69">
        <v>1.8710000000000001E-2</v>
      </c>
      <c r="AI69">
        <v>1.4283999999999999</v>
      </c>
      <c r="AJ69" s="27">
        <v>2.1579999999999998E-2</v>
      </c>
      <c r="AK69">
        <v>0.10248</v>
      </c>
    </row>
    <row r="70" spans="29:44" x14ac:dyDescent="0.25">
      <c r="AC70" t="s">
        <v>229</v>
      </c>
      <c r="AD70">
        <v>5.4599999999999996E-3</v>
      </c>
      <c r="AE70">
        <v>6.0299999999999998E-3</v>
      </c>
      <c r="AF70">
        <v>5.77E-3</v>
      </c>
      <c r="AG70">
        <v>4.8599999999999997E-3</v>
      </c>
      <c r="AH70">
        <v>8.5400000000000007E-3</v>
      </c>
      <c r="AI70">
        <v>0.65183999999999997</v>
      </c>
      <c r="AJ70" s="27">
        <v>9.8499999999999994E-3</v>
      </c>
      <c r="AK70">
        <v>4.6769999999999999E-2</v>
      </c>
    </row>
    <row r="71" spans="29:44" x14ac:dyDescent="0.25">
      <c r="AC71" t="s">
        <v>230</v>
      </c>
      <c r="AD71">
        <v>6.0000000000000002E-5</v>
      </c>
      <c r="AE71">
        <v>6.0000000000000002E-5</v>
      </c>
      <c r="AF71">
        <v>6.0000000000000002E-5</v>
      </c>
      <c r="AG71">
        <v>5.0000000000000002E-5</v>
      </c>
      <c r="AH71">
        <v>9.0000000000000006E-5</v>
      </c>
      <c r="AI71">
        <v>6.5900000000000004E-3</v>
      </c>
      <c r="AJ71" s="27">
        <v>1E-4</v>
      </c>
      <c r="AK71">
        <v>4.6999999999999999E-4</v>
      </c>
    </row>
    <row r="72" spans="29:44" x14ac:dyDescent="0.25">
      <c r="AC72" t="s">
        <v>231</v>
      </c>
      <c r="AD72">
        <v>7.3999999999999999E-4</v>
      </c>
      <c r="AE72">
        <v>8.1999999999999998E-4</v>
      </c>
      <c r="AF72">
        <v>7.7999999999999999E-4</v>
      </c>
      <c r="AG72">
        <v>6.6E-4</v>
      </c>
      <c r="AH72">
        <v>1.16E-3</v>
      </c>
      <c r="AI72">
        <v>8.8279999999999997E-2</v>
      </c>
      <c r="AJ72" s="27">
        <v>1.33E-3</v>
      </c>
      <c r="AK72">
        <v>6.3299999999999997E-3</v>
      </c>
    </row>
    <row r="73" spans="29:44" x14ac:dyDescent="0.25">
      <c r="AC73" t="s">
        <v>232</v>
      </c>
      <c r="AD73">
        <v>8.3800000000000003E-3</v>
      </c>
      <c r="AE73">
        <v>9.2499999999999995E-3</v>
      </c>
      <c r="AF73">
        <v>8.8599999999999998E-3</v>
      </c>
      <c r="AG73">
        <v>7.45E-3</v>
      </c>
      <c r="AH73">
        <v>1.3100000000000001E-2</v>
      </c>
      <c r="AI73">
        <v>1</v>
      </c>
      <c r="AJ73" s="27">
        <v>1.511E-2</v>
      </c>
      <c r="AK73" s="27">
        <v>7.1739999999999998E-2</v>
      </c>
    </row>
    <row r="74" spans="29:44" x14ac:dyDescent="0.25">
      <c r="AC74" t="s">
        <v>233</v>
      </c>
      <c r="AD74">
        <v>0.21970999999999999</v>
      </c>
      <c r="AE74">
        <v>0.24268999999999999</v>
      </c>
      <c r="AF74">
        <v>0.23229</v>
      </c>
      <c r="AG74">
        <v>0.19547</v>
      </c>
      <c r="AH74">
        <v>0.34359000000000001</v>
      </c>
      <c r="AI74">
        <v>26.22889</v>
      </c>
      <c r="AJ74" s="27">
        <v>0.39631</v>
      </c>
      <c r="AK74" s="27">
        <v>1.8817699999999999</v>
      </c>
    </row>
    <row r="75" spans="29:44" x14ac:dyDescent="0.25">
      <c r="AC75" t="s">
        <v>306</v>
      </c>
      <c r="AK75" s="27"/>
    </row>
    <row r="76" spans="29:44" x14ac:dyDescent="0.25">
      <c r="AC76" t="s">
        <v>234</v>
      </c>
      <c r="AK76" s="27"/>
    </row>
    <row r="77" spans="29:44" x14ac:dyDescent="0.25">
      <c r="AC77" t="s">
        <v>235</v>
      </c>
      <c r="AK77" s="27"/>
    </row>
    <row r="78" spans="29:44" x14ac:dyDescent="0.25">
      <c r="AC78" t="s">
        <v>236</v>
      </c>
      <c r="AK78" s="27"/>
    </row>
    <row r="79" spans="29:44" x14ac:dyDescent="0.25">
      <c r="AC79" t="s">
        <v>237</v>
      </c>
      <c r="AK79" s="27"/>
    </row>
    <row r="80" spans="29:44" x14ac:dyDescent="0.25">
      <c r="AC80" t="s">
        <v>238</v>
      </c>
      <c r="AK80" s="27"/>
    </row>
    <row r="81" spans="29:37" x14ac:dyDescent="0.25">
      <c r="AC81" t="s">
        <v>237</v>
      </c>
      <c r="AK81" s="27"/>
    </row>
    <row r="82" spans="29:37" x14ac:dyDescent="0.25">
      <c r="AC82" t="s">
        <v>239</v>
      </c>
      <c r="AK82" s="27"/>
    </row>
    <row r="83" spans="29:37" x14ac:dyDescent="0.25">
      <c r="AC83" t="s">
        <v>240</v>
      </c>
      <c r="AK83" s="27"/>
    </row>
    <row r="84" spans="29:37" x14ac:dyDescent="0.25">
      <c r="AC84" t="s">
        <v>241</v>
      </c>
      <c r="AK84" s="27"/>
    </row>
    <row r="85" spans="29:37" x14ac:dyDescent="0.25">
      <c r="AC85" t="s">
        <v>166</v>
      </c>
      <c r="AK85" s="27"/>
    </row>
    <row r="86" spans="29:37" x14ac:dyDescent="0.25">
      <c r="AC86" t="s">
        <v>242</v>
      </c>
      <c r="AK86" s="27"/>
    </row>
    <row r="87" spans="29:37" x14ac:dyDescent="0.25">
      <c r="AC87" t="s">
        <v>162</v>
      </c>
      <c r="AK87" s="27"/>
    </row>
    <row r="88" spans="29:37" x14ac:dyDescent="0.25">
      <c r="AC88" t="s">
        <v>164</v>
      </c>
      <c r="AK88" s="27"/>
    </row>
    <row r="89" spans="29:37" x14ac:dyDescent="0.25">
      <c r="AC89" t="s">
        <v>243</v>
      </c>
      <c r="AK89" s="27"/>
    </row>
    <row r="90" spans="29:37" x14ac:dyDescent="0.25">
      <c r="AC90" t="s">
        <v>307</v>
      </c>
      <c r="AK90" s="27"/>
    </row>
    <row r="91" spans="29:37" x14ac:dyDescent="0.25">
      <c r="AC91" t="s">
        <v>308</v>
      </c>
      <c r="AK91" s="27"/>
    </row>
    <row r="113" spans="36:36" x14ac:dyDescent="0.25">
      <c r="AJ113" s="64"/>
    </row>
    <row r="133" spans="36:36" x14ac:dyDescent="0.25">
      <c r="AJ133" s="64"/>
    </row>
  </sheetData>
  <sheetProtection sheet="1" objects="1" scenarios="1"/>
  <mergeCells count="2">
    <mergeCell ref="X1:Y1"/>
    <mergeCell ref="K7:M7"/>
  </mergeCells>
  <conditionalFormatting sqref="S17">
    <cfRule type="expression" dxfId="0" priority="1">
      <formula>IF(S17&lt;0,TRUE,FALSE)</formula>
    </cfRule>
  </conditionalFormatting>
  <hyperlinks>
    <hyperlink ref="Z1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Feuil3</vt:lpstr>
      <vt:lpstr>10j</vt:lpstr>
      <vt:lpstr>13j</vt:lpstr>
      <vt:lpstr>16j</vt:lpstr>
      <vt:lpstr>23j</vt:lpstr>
      <vt:lpstr>Feuil2</vt:lpstr>
      <vt:lpstr>Feuil2!majorrates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BIWAND</dc:creator>
  <cp:lastModifiedBy>Utilisateur</cp:lastModifiedBy>
  <cp:lastPrinted>2017-07-28T13:20:13Z</cp:lastPrinted>
  <dcterms:created xsi:type="dcterms:W3CDTF">2017-07-28T06:13:48Z</dcterms:created>
  <dcterms:modified xsi:type="dcterms:W3CDTF">2020-03-30T12:38:08Z</dcterms:modified>
</cp:coreProperties>
</file>