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ropbox\SAUVEGARDE\BAAN LILAWADEE TRAVEL\INITIALISATION TARIFS GRAND PUBLIC\"/>
    </mc:Choice>
  </mc:AlternateContent>
  <workbookProtection workbookPassword="C67A" lockStructure="1"/>
  <bookViews>
    <workbookView xWindow="0" yWindow="0" windowWidth="20490" windowHeight="7455" firstSheet="1" activeTab="1"/>
  </bookViews>
  <sheets>
    <sheet name="Feuil1" sheetId="1" state="hidden" r:id="rId1"/>
    <sheet name="Feuil3" sheetId="3" r:id="rId2"/>
  </sheets>
  <definedNames>
    <definedName name="majorrates" localSheetId="0">Feuil1!$AC$2:$AK$91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3" l="1"/>
  <c r="N25" i="3"/>
  <c r="O25" i="3"/>
  <c r="P25" i="3"/>
  <c r="H23" i="3" l="1"/>
  <c r="L15" i="1"/>
  <c r="M15" i="1" s="1"/>
  <c r="L13" i="1"/>
  <c r="M13" i="1" s="1"/>
  <c r="L12" i="1"/>
  <c r="M12" i="1" s="1"/>
  <c r="N3" i="3" s="1"/>
  <c r="L11" i="1"/>
  <c r="M11" i="1" s="1"/>
  <c r="L10" i="1"/>
  <c r="M10" i="1" s="1"/>
  <c r="M9" i="1"/>
  <c r="L9" i="1" s="1"/>
  <c r="Q26" i="3" l="1"/>
  <c r="I26" i="3" s="1"/>
  <c r="O26" i="3"/>
  <c r="G26" i="3" s="1"/>
  <c r="M26" i="3"/>
  <c r="E26" i="3" s="1"/>
  <c r="P26" i="3"/>
  <c r="H26" i="3" s="1"/>
  <c r="N26" i="3"/>
  <c r="F26" i="3" s="1"/>
  <c r="H25" i="3"/>
  <c r="F25" i="3"/>
  <c r="Q24" i="3"/>
  <c r="I24" i="3" s="1"/>
  <c r="O24" i="3"/>
  <c r="G24" i="3" s="1"/>
  <c r="M24" i="3"/>
  <c r="E24" i="3" s="1"/>
  <c r="O23" i="3"/>
  <c r="G23" i="3" s="1"/>
  <c r="M23" i="3"/>
  <c r="E23" i="3" s="1"/>
  <c r="P22" i="3"/>
  <c r="H22" i="3" s="1"/>
  <c r="N22" i="3"/>
  <c r="F22" i="3" s="1"/>
  <c r="Q21" i="3"/>
  <c r="I21" i="3" s="1"/>
  <c r="O21" i="3"/>
  <c r="G21" i="3" s="1"/>
  <c r="M21" i="3"/>
  <c r="E21" i="3" s="1"/>
  <c r="P20" i="3"/>
  <c r="H20" i="3" s="1"/>
  <c r="N20" i="3"/>
  <c r="F20" i="3" s="1"/>
  <c r="Q19" i="3"/>
  <c r="I19" i="3" s="1"/>
  <c r="O19" i="3"/>
  <c r="G19" i="3" s="1"/>
  <c r="M19" i="3"/>
  <c r="E19" i="3" s="1"/>
  <c r="P18" i="3"/>
  <c r="H18" i="3" s="1"/>
  <c r="N18" i="3"/>
  <c r="F18" i="3" s="1"/>
  <c r="Q17" i="3"/>
  <c r="I17" i="3" s="1"/>
  <c r="O17" i="3"/>
  <c r="G17" i="3" s="1"/>
  <c r="M17" i="3"/>
  <c r="E17" i="3" s="1"/>
  <c r="P16" i="3"/>
  <c r="H16" i="3" s="1"/>
  <c r="N16" i="3"/>
  <c r="F16" i="3" s="1"/>
  <c r="Q25" i="3"/>
  <c r="I25" i="3" s="1"/>
  <c r="G25" i="3"/>
  <c r="E25" i="3"/>
  <c r="P24" i="3"/>
  <c r="H24" i="3" s="1"/>
  <c r="N24" i="3"/>
  <c r="F24" i="3" s="1"/>
  <c r="Q23" i="3"/>
  <c r="I23" i="3" s="1"/>
  <c r="N23" i="3"/>
  <c r="F23" i="3" s="1"/>
  <c r="Q22" i="3"/>
  <c r="I22" i="3" s="1"/>
  <c r="O22" i="3"/>
  <c r="G22" i="3" s="1"/>
  <c r="M22" i="3"/>
  <c r="E22" i="3" s="1"/>
  <c r="P21" i="3"/>
  <c r="H21" i="3" s="1"/>
  <c r="N21" i="3"/>
  <c r="F21" i="3" s="1"/>
  <c r="Q20" i="3"/>
  <c r="I20" i="3" s="1"/>
  <c r="O20" i="3"/>
  <c r="G20" i="3" s="1"/>
  <c r="M20" i="3"/>
  <c r="E20" i="3" s="1"/>
  <c r="P19" i="3"/>
  <c r="H19" i="3" s="1"/>
  <c r="N19" i="3"/>
  <c r="F19" i="3" s="1"/>
  <c r="Q18" i="3"/>
  <c r="I18" i="3" s="1"/>
  <c r="O18" i="3"/>
  <c r="G18" i="3" s="1"/>
  <c r="M18" i="3"/>
  <c r="E18" i="3" s="1"/>
  <c r="P17" i="3"/>
  <c r="H17" i="3" s="1"/>
  <c r="N17" i="3"/>
  <c r="F17" i="3" s="1"/>
  <c r="Q16" i="3"/>
  <c r="I16" i="3" s="1"/>
  <c r="O16" i="3"/>
  <c r="G16" i="3" s="1"/>
  <c r="M16" i="3"/>
  <c r="E16" i="3" s="1"/>
</calcChain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<sst xmlns="http://schemas.openxmlformats.org/spreadsheetml/2006/main" count="229" uniqueCount="188">
  <si>
    <t>PRIX HORS VOL PARIS-BANGKOK</t>
  </si>
  <si>
    <t>EXCURSION 5 JOURS BANGKOK-AYUTTHAYA</t>
  </si>
  <si>
    <t>EXCURSION 7 JOURS KRABI-KOH LANTA</t>
  </si>
  <si>
    <t>EXCURSION 3 JOURS LUANG PRABANG (LAOS)</t>
  </si>
  <si>
    <t>EXCURSION 11 JOURS COMBINE LAOS - KOH CHANG</t>
  </si>
  <si>
    <t>EXCURSION 3 JOURS CHIANG MAI</t>
  </si>
  <si>
    <t>EXCURSIONS 5 JOURS NONGKHAÏ-LAOS (LUANG PRABANG)</t>
  </si>
  <si>
    <t>EXCURSION 5 JOURS LAOS avec croisière 2 jours sur le Mékong</t>
  </si>
  <si>
    <t>EXCURSIONS</t>
  </si>
  <si>
    <t>8 personnes</t>
  </si>
  <si>
    <t>EXCURSION 5 JOURS LAOS avec croisière 2 jours sur le Mékong (maximum 6 personnes)</t>
  </si>
  <si>
    <t>EXCURSION 7 JOURS NONGKHAÏ-LAOS avec croisière 2 jours sur le Mékong (maximum 6 personnes)</t>
  </si>
  <si>
    <t>EXCURSION 7 JOURS NONGKHAÏ-LAOS avec croisière 2 jours sur le Mékong</t>
  </si>
  <si>
    <t>taux frais paypal</t>
  </si>
  <si>
    <t>EXCURSION 2 JOURS KANCHANABURI (PONT DE LA RIVIERE KWAI)</t>
  </si>
  <si>
    <t>EXCURSION 1 JOUR SUKHOTAI</t>
  </si>
  <si>
    <t>Prix / pers.</t>
  </si>
  <si>
    <t>Sup ch. Ind.</t>
  </si>
  <si>
    <t>2 Pers.</t>
  </si>
  <si>
    <t xml:space="preserve">CIRCUIT 10 JOURS </t>
  </si>
  <si>
    <t xml:space="preserve">CIRCUIT 13 JOURS </t>
  </si>
  <si>
    <t xml:space="preserve">CIRCUIT 15 JOURS </t>
  </si>
  <si>
    <t xml:space="preserve">CIRCUIT 16 JOURS </t>
  </si>
  <si>
    <t>CIRCUIT 19 JOURS</t>
  </si>
  <si>
    <t>CIRCUIT 18 JOURS</t>
  </si>
  <si>
    <t>CIRCUIT 21 JOURS</t>
  </si>
  <si>
    <t>CIRCUIT 22 JOURS</t>
  </si>
  <si>
    <t>CIRCUIT 26 JOURS</t>
  </si>
  <si>
    <t>REFERENCE</t>
  </si>
  <si>
    <t>CI10A</t>
  </si>
  <si>
    <t>CI10S</t>
  </si>
  <si>
    <t>CI13A</t>
  </si>
  <si>
    <t>CI15A</t>
  </si>
  <si>
    <t>CI15S</t>
  </si>
  <si>
    <t>CI16S</t>
  </si>
  <si>
    <t>CI18C1</t>
  </si>
  <si>
    <t>CI21A</t>
  </si>
  <si>
    <t>CI21S</t>
  </si>
  <si>
    <t>CI22A</t>
  </si>
  <si>
    <t>CI26A</t>
  </si>
  <si>
    <t xml:space="preserve">CIRCUIT 11 JOURS </t>
  </si>
  <si>
    <t>CI11A</t>
  </si>
  <si>
    <t>CI13B</t>
  </si>
  <si>
    <t>CI19C2</t>
  </si>
  <si>
    <t>CI16A</t>
  </si>
  <si>
    <t xml:space="preserve">CIRCUIT 18 JOURS </t>
  </si>
  <si>
    <t>CI18A</t>
  </si>
  <si>
    <t>CI16T</t>
  </si>
  <si>
    <t>CI16T2</t>
  </si>
  <si>
    <t>CI21R</t>
  </si>
  <si>
    <t>CIRCUITS THAÏLANDE</t>
  </si>
  <si>
    <t>CIRCUITS COMBINES THAÏLANDE ET LAOS</t>
  </si>
  <si>
    <t>CIRCUITS TOURISME RESPONSABLE</t>
  </si>
  <si>
    <t>CIRCUITS PLONGEE</t>
  </si>
  <si>
    <t>CI10PL</t>
  </si>
  <si>
    <t>CI13PL</t>
  </si>
  <si>
    <t>CI16PL</t>
  </si>
  <si>
    <t>CIRCUIT 23 JOURS</t>
  </si>
  <si>
    <t>CI23PL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</si>
  <si>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</si>
  <si>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</si>
  <si>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</si>
  <si>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</si>
  <si>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</si>
  <si>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</si>
  <si>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CI11IS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</si>
  <si>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</si>
  <si>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</si>
  <si>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</si>
  <si>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</si>
  <si>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</si>
  <si>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</si>
  <si>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CI15IS</t>
  </si>
  <si>
    <t>Max 6 pers.</t>
  </si>
  <si>
    <t>CI18T</t>
  </si>
  <si>
    <t>CI22T</t>
  </si>
  <si>
    <t>CIRCUIT 28 JOURS</t>
  </si>
  <si>
    <t>CI28C2</t>
  </si>
  <si>
    <t>Base currency =</t>
  </si>
  <si>
    <t>currency =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</si>
  <si>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</si>
  <si>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</si>
  <si>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</si>
  <si>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</si>
  <si>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 xml:space="preserve"> </t>
  </si>
  <si>
    <t>Taux de change de devises internationales</t>
  </si>
  <si>
    <t xml:space="preserve">et leurs historiques </t>
  </si>
  <si>
    <t>Calculator</t>
  </si>
  <si>
    <t xml:space="preserve">Toggle navigation </t>
  </si>
  <si>
    <t>COURS DES DEVISES EN TEMPS REEL :</t>
  </si>
  <si>
    <t xml:space="preserve">Facebook </t>
  </si>
  <si>
    <t>DEVISE</t>
  </si>
  <si>
    <t>DEVISE/€</t>
  </si>
  <si>
    <t>€/DEVISE</t>
  </si>
  <si>
    <t xml:space="preserve">Twitter </t>
  </si>
  <si>
    <t>USD</t>
  </si>
  <si>
    <t>Français</t>
  </si>
  <si>
    <t>CHF</t>
  </si>
  <si>
    <t>不A</t>
  </si>
  <si>
    <t>RMB</t>
  </si>
  <si>
    <t>Rechercher</t>
  </si>
  <si>
    <t>BAHT</t>
  </si>
  <si>
    <t xml:space="preserve">Top 30 des Devises Internationales </t>
  </si>
  <si>
    <t>HKD</t>
  </si>
  <si>
    <t xml:space="preserve">Devises par Région </t>
  </si>
  <si>
    <t>DEVISE/USD</t>
  </si>
  <si>
    <t>DEVISE/RMB</t>
  </si>
  <si>
    <t>Amérique du Nord et du Sud Asie et Pacifique Europe Moyen-Orient et Asie Centrale Afrique</t>
  </si>
  <si>
    <t xml:space="preserve">Webmestres </t>
  </si>
  <si>
    <t>English</t>
  </si>
  <si>
    <t>Bahasa Indonesia</t>
  </si>
  <si>
    <t>Bahasa Malaysia</t>
  </si>
  <si>
    <t>Čeština</t>
  </si>
  <si>
    <t>Deutsch</t>
  </si>
  <si>
    <t>Español</t>
  </si>
  <si>
    <t>Italiano</t>
  </si>
  <si>
    <t>Nederlands</t>
  </si>
  <si>
    <t>Norsk</t>
  </si>
  <si>
    <t>Polski</t>
  </si>
  <si>
    <t>Português</t>
  </si>
  <si>
    <t>Svenska</t>
  </si>
  <si>
    <t>Tiếng Việt</t>
  </si>
  <si>
    <t>Türkçe</t>
  </si>
  <si>
    <t>Ελληνικά</t>
  </si>
  <si>
    <t>Русский</t>
  </si>
  <si>
    <t>한국어</t>
  </si>
  <si>
    <t>中文</t>
  </si>
  <si>
    <t>日本語</t>
  </si>
  <si>
    <t>繁體中文</t>
  </si>
  <si>
    <t>हिंदी</t>
  </si>
  <si>
    <t>ภาษาไทย</t>
  </si>
  <si>
    <t>Autres Langues</t>
  </si>
  <si>
    <t>Taux de Change</t>
  </si>
  <si>
    <t>Top 30 des Devises Internationales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</si>
  <si>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</si>
  <si>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</si>
  <si>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</si>
  <si>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</si>
  <si>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</si>
  <si>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</si>
  <si>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</si>
  <si>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</si>
  <si>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</si>
  <si>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</si>
  <si>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</si>
  <si>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</si>
  <si>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</si>
  <si>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</si>
  <si>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</si>
  <si>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</si>
  <si>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</si>
  <si>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</si>
  <si>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</si>
  <si>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</si>
  <si>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</si>
  <si>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</si>
  <si>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</si>
  <si>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</si>
  <si>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</si>
  <si>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</si>
  <si>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</si>
  <si>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</si>
  <si>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</si>
  <si>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</si>
  <si>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</si>
  <si>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</si>
  <si>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</si>
  <si>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</si>
  <si>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</si>
  <si>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</si>
  <si>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</si>
  <si>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</si>
  <si>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</si>
  <si>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</si>
  <si>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</si>
  <si>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</si>
  <si>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>Cliquez pour plus de devises</t>
  </si>
  <si>
    <t xml:space="preserve">Devises Principales </t>
  </si>
  <si>
    <t>EUR Euro USD Dollar américain CHF Franc suisse GBP Livre sterling CAD Dollar canadien JPY Yen japonais AUD Dollar australien HKD Dollar de Hong Kong Top 30 des Devises Internationales</t>
  </si>
  <si>
    <t>Ajoutez notre convertisseur de devises gratuit et nos tableaux de taux de change à votre site dès aujourd'hui.</t>
  </si>
  <si>
    <t>Privacy and Terms</t>
  </si>
  <si>
    <t>Exchange-Rates.org © 2020 MBH Media, Inc. Currency data by Xignite</t>
  </si>
  <si>
    <t xml:space="preserve">www.exchange-rates.org </t>
  </si>
  <si>
    <t>*** Le calcul tenant compte de la parité en Euro et Thaï Bahts en temps réel, merci de patienter entre 20 et 30s pour avoir la mise à jour ***</t>
  </si>
  <si>
    <t xml:space="preserve">CIRCUIT 26 JOURS </t>
  </si>
  <si>
    <t>CI26S</t>
  </si>
  <si>
    <t>Taux de Change en date du 26 juin 2020</t>
  </si>
  <si>
    <t>26/06/2020 21:59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</si>
</sst>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#,##0\ &quot;€&quot;"/>
    <numFmt numFmtId="165" formatCode="#,##0.000\ &quot;€&quot;;[Red]\-#,##0.000\ &quot;€&quot;"/>
    <numFmt numFmtId="166" formatCode="#,##0.00\ &quot;€&quot;"/>
    <numFmt numFmtId="167" formatCode="#,##0.000\ &quot;€&quot;"/>
    <numFmt numFmtId="168" formatCode="#,##0.0000"/>
    <numFmt numFmtId="169" formatCode="0.0000000"/>
    <numFmt numFmtId="170" formatCode="0.0000"/>
    <numFmt numFmtId="171" formatCode="#,##0.00\ [$USD]"/>
    <numFmt numFmtId="172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164" fontId="0" fillId="0" borderId="1" xfId="0" applyNumberFormat="1" applyBorder="1"/>
    <xf numFmtId="0" fontId="0" fillId="0" borderId="6" xfId="0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164" fontId="0" fillId="0" borderId="2" xfId="0" applyNumberFormat="1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0" borderId="1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165" fontId="0" fillId="0" borderId="0" xfId="0" applyNumberFormat="1"/>
    <xf numFmtId="0" fontId="1" fillId="0" borderId="1" xfId="0" applyFont="1" applyFill="1" applyBorder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6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Fill="1" applyBorder="1" applyAlignment="1"/>
    <xf numFmtId="169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/>
    <xf numFmtId="0" fontId="5" fillId="0" borderId="0" xfId="1" applyAlignment="1" applyProtection="1"/>
    <xf numFmtId="0" fontId="0" fillId="0" borderId="0" xfId="0" applyFill="1"/>
    <xf numFmtId="0" fontId="6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6" fillId="0" borderId="0" xfId="1" applyFont="1" applyAlignment="1" applyProtection="1"/>
    <xf numFmtId="0" fontId="7" fillId="0" borderId="0" xfId="0" applyFont="1" applyFill="1" applyBorder="1"/>
    <xf numFmtId="2" fontId="2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170" fontId="1" fillId="0" borderId="1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71" fontId="7" fillId="0" borderId="0" xfId="0" applyNumberFormat="1" applyFont="1"/>
    <xf numFmtId="172" fontId="1" fillId="0" borderId="1" xfId="0" applyNumberFormat="1" applyFont="1" applyBorder="1" applyAlignment="1">
      <alignment horizontal="center"/>
    </xf>
    <xf numFmtId="166" fontId="7" fillId="0" borderId="0" xfId="0" applyNumberFormat="1" applyFont="1"/>
    <xf numFmtId="0" fontId="1" fillId="0" borderId="1" xfId="0" applyFont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7" fillId="0" borderId="0" xfId="0" applyNumberFormat="1" applyFont="1"/>
    <xf numFmtId="10" fontId="7" fillId="0" borderId="0" xfId="0" applyNumberFormat="1" applyFont="1"/>
    <xf numFmtId="171" fontId="0" fillId="0" borderId="0" xfId="0" applyNumberFormat="1"/>
    <xf numFmtId="0" fontId="7" fillId="0" borderId="0" xfId="0" applyFont="1" applyAlignment="1">
      <alignment horizontal="right"/>
    </xf>
    <xf numFmtId="2" fontId="0" fillId="0" borderId="0" xfId="0" applyNumberFormat="1"/>
    <xf numFmtId="16" fontId="0" fillId="0" borderId="0" xfId="0" applyNumberFormat="1"/>
    <xf numFmtId="0" fontId="0" fillId="2" borderId="0" xfId="0" applyFill="1"/>
    <xf numFmtId="16" fontId="0" fillId="0" borderId="0" xfId="0" applyNumberFormat="1" applyFill="1"/>
    <xf numFmtId="172" fontId="0" fillId="0" borderId="0" xfId="0" applyNumberFormat="1" applyFill="1"/>
    <xf numFmtId="170" fontId="0" fillId="0" borderId="0" xfId="0" applyNumberFormat="1" applyFill="1" applyAlignment="1">
      <alignment horizontal="left"/>
    </xf>
    <xf numFmtId="4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.exchange-rates.org/majorrat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AR133"/>
  <sheetViews>
    <sheetView showGridLines="0" zoomScale="90" zoomScaleNormal="90" workbookViewId="0">
      <selection activeCell="G17" sqref="G17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.85546875" customWidth="1"/>
    <col min="35" max="35" width="11.140625" customWidth="1"/>
    <col min="36" max="36" width="8.85546875" style="54" customWidth="1"/>
    <col min="37" max="37" width="8.85546875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50"/>
      <c r="L1" s="50"/>
      <c r="M1" s="51"/>
      <c r="N1" s="50"/>
      <c r="O1" s="50"/>
      <c r="P1" s="50"/>
      <c r="Q1" s="50"/>
      <c r="R1" s="52"/>
      <c r="X1" s="87" t="s">
        <v>80</v>
      </c>
      <c r="Y1" s="87"/>
      <c r="Z1" s="53" t="s">
        <v>81</v>
      </c>
    </row>
    <row r="2" spans="2:44" ht="18.75" x14ac:dyDescent="0.3">
      <c r="B2" s="55"/>
      <c r="K2" s="50"/>
      <c r="L2" s="50"/>
      <c r="M2" s="51"/>
      <c r="N2" s="50"/>
      <c r="O2" s="50"/>
      <c r="P2" s="50"/>
      <c r="Q2" s="50"/>
      <c r="R2" s="50"/>
      <c r="X2" t="s">
        <v>82</v>
      </c>
      <c r="AC2" t="s">
        <v>83</v>
      </c>
      <c r="AK2" s="54"/>
      <c r="AL2" s="54"/>
      <c r="AM2" s="54"/>
      <c r="AN2" s="54"/>
      <c r="AO2" s="54"/>
      <c r="AP2" s="54"/>
      <c r="AQ2" s="54"/>
      <c r="AR2" s="54"/>
    </row>
    <row r="3" spans="2:44" ht="18.75" x14ac:dyDescent="0.3">
      <c r="B3" s="55"/>
      <c r="K3" s="50"/>
      <c r="L3" s="50"/>
      <c r="M3" s="56"/>
      <c r="N3" s="50"/>
      <c r="O3" s="50"/>
      <c r="P3" s="50"/>
      <c r="Q3" s="50"/>
      <c r="R3" s="50"/>
      <c r="X3" s="53" t="s">
        <v>84</v>
      </c>
      <c r="AC3" t="s">
        <v>85</v>
      </c>
      <c r="AK3" s="54"/>
      <c r="AL3" s="54"/>
      <c r="AM3" s="54"/>
      <c r="AN3" s="54"/>
      <c r="AO3" s="54"/>
      <c r="AP3" s="54"/>
      <c r="AQ3" s="54"/>
      <c r="AR3" s="54"/>
    </row>
    <row r="4" spans="2:44" ht="18.75" x14ac:dyDescent="0.3">
      <c r="B4" s="55"/>
      <c r="K4" s="50"/>
      <c r="L4" s="50"/>
      <c r="M4" s="56"/>
      <c r="N4" s="50"/>
      <c r="O4" s="50"/>
      <c r="P4" s="50"/>
      <c r="Q4" s="50"/>
      <c r="R4" s="56"/>
      <c r="AC4" t="s">
        <v>86</v>
      </c>
      <c r="AK4" s="54"/>
      <c r="AL4" s="54"/>
      <c r="AM4" s="54"/>
      <c r="AN4" s="54"/>
      <c r="AO4" s="54"/>
      <c r="AP4" s="54"/>
      <c r="AQ4" s="54"/>
      <c r="AR4" s="54"/>
    </row>
    <row r="5" spans="2:44" x14ac:dyDescent="0.25">
      <c r="K5" s="50"/>
      <c r="L5" s="50"/>
      <c r="M5" s="56"/>
      <c r="N5" s="50"/>
      <c r="O5" s="50"/>
      <c r="P5" s="50"/>
      <c r="Q5" s="50"/>
      <c r="R5" s="50"/>
      <c r="AC5" t="s">
        <v>87</v>
      </c>
      <c r="AK5" s="54"/>
      <c r="AL5" s="54"/>
      <c r="AM5" s="54"/>
      <c r="AN5" s="54"/>
      <c r="AO5" s="54"/>
      <c r="AP5" s="54"/>
      <c r="AQ5" s="54"/>
      <c r="AR5" s="54"/>
    </row>
    <row r="6" spans="2:44" x14ac:dyDescent="0.25">
      <c r="AC6" t="s">
        <v>88</v>
      </c>
      <c r="AK6" s="54"/>
      <c r="AL6" s="54"/>
      <c r="AM6" s="54"/>
      <c r="AN6" s="54"/>
      <c r="AO6" s="54"/>
      <c r="AP6" s="54"/>
      <c r="AQ6" s="54"/>
      <c r="AR6" s="54"/>
    </row>
    <row r="7" spans="2:44" x14ac:dyDescent="0.25">
      <c r="K7" s="88" t="s">
        <v>89</v>
      </c>
      <c r="L7" s="88"/>
      <c r="M7" s="88"/>
      <c r="N7" s="57"/>
      <c r="O7" s="57"/>
      <c r="P7" s="57"/>
      <c r="Q7" s="57"/>
      <c r="R7" s="57"/>
      <c r="S7" s="57"/>
      <c r="AC7" t="s">
        <v>90</v>
      </c>
      <c r="AK7" s="54"/>
      <c r="AL7" s="54"/>
      <c r="AM7" s="54"/>
      <c r="AN7" s="54"/>
      <c r="AO7" s="54"/>
      <c r="AP7" s="54"/>
      <c r="AQ7" s="54"/>
      <c r="AR7" s="54"/>
    </row>
    <row r="8" spans="2:44" ht="18.75" x14ac:dyDescent="0.3">
      <c r="B8" s="58"/>
      <c r="D8" s="58"/>
      <c r="G8" s="58"/>
      <c r="J8" t="s">
        <v>84</v>
      </c>
      <c r="K8" s="17" t="s">
        <v>91</v>
      </c>
      <c r="L8" s="17" t="s">
        <v>92</v>
      </c>
      <c r="M8" s="17" t="s">
        <v>93</v>
      </c>
      <c r="N8" s="59"/>
      <c r="O8" s="60"/>
      <c r="P8" s="59"/>
      <c r="Q8" s="61"/>
      <c r="R8" s="59"/>
      <c r="S8" s="62"/>
      <c r="AC8" t="s">
        <v>94</v>
      </c>
      <c r="AK8" s="54"/>
      <c r="AL8" s="54"/>
      <c r="AM8" s="54"/>
      <c r="AN8" s="54"/>
      <c r="AO8" s="54"/>
      <c r="AP8" s="54"/>
      <c r="AQ8" s="54"/>
      <c r="AR8" s="54"/>
    </row>
    <row r="9" spans="2:44" ht="18.75" x14ac:dyDescent="0.3">
      <c r="B9" s="58"/>
      <c r="D9" s="58"/>
      <c r="G9" s="55"/>
      <c r="K9" s="17" t="s">
        <v>95</v>
      </c>
      <c r="L9" s="63">
        <f>1/M9</f>
        <v>34.650034650034648</v>
      </c>
      <c r="M9" s="63">
        <f>+AD43</f>
        <v>2.886E-2</v>
      </c>
      <c r="N9" s="62" t="s">
        <v>84</v>
      </c>
      <c r="O9" s="57"/>
      <c r="P9" s="64"/>
      <c r="Q9" s="65"/>
      <c r="R9" s="64"/>
      <c r="S9" s="57"/>
      <c r="AC9" t="s">
        <v>96</v>
      </c>
      <c r="AK9" s="54"/>
      <c r="AL9" s="54"/>
      <c r="AM9" s="54"/>
      <c r="AN9" s="54"/>
      <c r="AO9" s="54"/>
      <c r="AP9" s="54"/>
      <c r="AQ9" s="54"/>
      <c r="AR9" s="54"/>
    </row>
    <row r="10" spans="2:44" ht="18.75" x14ac:dyDescent="0.3">
      <c r="B10" s="58"/>
      <c r="D10" s="55"/>
      <c r="G10" s="55"/>
      <c r="K10" s="17" t="s">
        <v>97</v>
      </c>
      <c r="L10" s="63">
        <f>+AD52</f>
        <v>0.63973000000000002</v>
      </c>
      <c r="M10" s="63">
        <f>1/L10</f>
        <v>1.5631594578963</v>
      </c>
      <c r="N10" s="62"/>
      <c r="O10" s="57"/>
      <c r="P10" s="64"/>
      <c r="Q10" s="65"/>
      <c r="R10" s="66"/>
      <c r="S10" s="57"/>
      <c r="AC10" t="s">
        <v>98</v>
      </c>
      <c r="AK10" s="54"/>
      <c r="AL10" s="54"/>
      <c r="AM10" s="54"/>
      <c r="AN10" s="54"/>
      <c r="AO10" s="54"/>
      <c r="AP10" s="54"/>
      <c r="AQ10" s="54"/>
      <c r="AR10" s="54"/>
    </row>
    <row r="11" spans="2:44" ht="18.75" x14ac:dyDescent="0.3">
      <c r="B11" s="58"/>
      <c r="D11" s="55"/>
      <c r="K11" s="17" t="s">
        <v>99</v>
      </c>
      <c r="L11" s="63">
        <f>+AD61</f>
        <v>1.08E-3</v>
      </c>
      <c r="M11" s="63">
        <f>1/L11</f>
        <v>925.92592592592587</v>
      </c>
      <c r="N11" s="62"/>
      <c r="O11" s="57"/>
      <c r="P11" s="64"/>
      <c r="Q11" s="65"/>
      <c r="R11" s="66"/>
      <c r="S11" s="57"/>
      <c r="AC11" t="s">
        <v>100</v>
      </c>
      <c r="AK11" s="54"/>
      <c r="AL11" s="54"/>
      <c r="AM11" s="54"/>
      <c r="AN11" s="54"/>
      <c r="AO11" s="54"/>
      <c r="AP11" s="54"/>
      <c r="AQ11" s="54"/>
      <c r="AR11" s="54"/>
    </row>
    <row r="12" spans="2:44" ht="18.75" x14ac:dyDescent="0.3">
      <c r="B12" s="58"/>
      <c r="D12" s="55"/>
      <c r="K12" s="17" t="s">
        <v>101</v>
      </c>
      <c r="L12" s="67">
        <f>+AD43</f>
        <v>2.886E-2</v>
      </c>
      <c r="M12" s="63">
        <f>1/L12</f>
        <v>34.650034650034648</v>
      </c>
      <c r="N12" s="62"/>
      <c r="O12" s="57"/>
      <c r="P12" s="64"/>
      <c r="Q12" s="65"/>
      <c r="R12" s="66"/>
      <c r="S12" s="57"/>
      <c r="AA12" t="s">
        <v>84</v>
      </c>
      <c r="AC12" t="s">
        <v>102</v>
      </c>
      <c r="AK12" s="54"/>
      <c r="AL12" s="54"/>
      <c r="AM12" s="54"/>
      <c r="AN12" s="54"/>
      <c r="AO12" s="54"/>
      <c r="AP12" s="54"/>
      <c r="AQ12" s="54"/>
      <c r="AR12" s="54"/>
    </row>
    <row r="13" spans="2:44" ht="18.75" x14ac:dyDescent="0.3">
      <c r="B13" s="58"/>
      <c r="D13" s="55"/>
      <c r="K13" s="17" t="s">
        <v>103</v>
      </c>
      <c r="L13" s="63">
        <f>+AD46</f>
        <v>9.5479999999999995E-2</v>
      </c>
      <c r="M13" s="63">
        <f>1/L13</f>
        <v>10.473397570171764</v>
      </c>
      <c r="N13" s="62"/>
      <c r="O13" s="57"/>
      <c r="P13" s="64"/>
      <c r="Q13" s="65"/>
      <c r="R13" s="66"/>
      <c r="S13" s="57"/>
      <c r="AA13" t="s">
        <v>84</v>
      </c>
      <c r="AC13" t="s">
        <v>104</v>
      </c>
      <c r="AK13" s="54"/>
      <c r="AL13" s="54"/>
      <c r="AM13" s="54"/>
      <c r="AN13" s="54"/>
      <c r="AO13" s="54"/>
      <c r="AP13" s="54"/>
      <c r="AQ13" s="54"/>
      <c r="AR13" s="54"/>
    </row>
    <row r="14" spans="2:44" ht="18.75" x14ac:dyDescent="0.3">
      <c r="B14" s="58"/>
      <c r="D14" s="55"/>
      <c r="K14" s="17" t="s">
        <v>91</v>
      </c>
      <c r="L14" s="17" t="s">
        <v>105</v>
      </c>
      <c r="M14" s="17" t="s">
        <v>106</v>
      </c>
      <c r="P14" s="64"/>
      <c r="Q14" s="1"/>
      <c r="R14" s="68"/>
      <c r="AB14" t="s">
        <v>84</v>
      </c>
      <c r="AC14" t="s">
        <v>107</v>
      </c>
      <c r="AK14" s="54"/>
      <c r="AL14" s="54"/>
      <c r="AM14" s="54"/>
      <c r="AN14" s="54"/>
      <c r="AO14" s="54"/>
      <c r="AP14" s="54"/>
      <c r="AQ14" s="54"/>
      <c r="AR14" s="54"/>
    </row>
    <row r="15" spans="2:44" ht="18.75" x14ac:dyDescent="0.3">
      <c r="B15" s="58"/>
      <c r="D15" s="55"/>
      <c r="K15" s="2"/>
      <c r="L15" s="69">
        <f>+AE50</f>
        <v>0.73048000000000002</v>
      </c>
      <c r="M15" s="70">
        <f>1/L15</f>
        <v>1.3689628737268644</v>
      </c>
      <c r="P15" s="71"/>
      <c r="Q15" s="1"/>
      <c r="R15" s="68"/>
      <c r="AC15" t="s">
        <v>108</v>
      </c>
      <c r="AK15" s="54"/>
      <c r="AL15" s="54"/>
      <c r="AM15" s="54"/>
      <c r="AN15" s="54"/>
      <c r="AO15" s="54"/>
      <c r="AP15" s="54"/>
      <c r="AQ15" s="54"/>
      <c r="AR15" s="54"/>
    </row>
    <row r="16" spans="2:44" ht="18.75" x14ac:dyDescent="0.3">
      <c r="B16" s="58"/>
      <c r="D16" s="55"/>
      <c r="J16" s="72"/>
      <c r="L16" t="s">
        <v>84</v>
      </c>
      <c r="O16" s="64"/>
      <c r="P16" s="65"/>
      <c r="Q16" s="73"/>
      <c r="R16" s="68"/>
      <c r="S16" s="74"/>
      <c r="AC16" t="s">
        <v>109</v>
      </c>
      <c r="AK16" s="54"/>
      <c r="AL16" s="54"/>
      <c r="AM16" s="54"/>
      <c r="AN16" s="54"/>
      <c r="AO16" s="54"/>
      <c r="AP16" s="54"/>
      <c r="AQ16" s="54"/>
      <c r="AR16" s="54"/>
    </row>
    <row r="17" spans="2:44" ht="18.75" x14ac:dyDescent="0.3">
      <c r="B17" s="55"/>
      <c r="D17" s="55"/>
      <c r="J17" s="53"/>
      <c r="M17" t="s">
        <v>84</v>
      </c>
      <c r="P17" s="75"/>
      <c r="R17" s="76"/>
      <c r="S17" s="74"/>
      <c r="AC17" t="s">
        <v>110</v>
      </c>
      <c r="AK17" s="54"/>
      <c r="AL17" s="54"/>
      <c r="AM17" s="54"/>
      <c r="AN17" s="54"/>
      <c r="AO17" s="54"/>
      <c r="AP17" s="54"/>
      <c r="AQ17" s="54"/>
      <c r="AR17" s="54"/>
    </row>
    <row r="18" spans="2:44" ht="18.75" x14ac:dyDescent="0.3">
      <c r="B18" s="55"/>
      <c r="D18" s="55"/>
      <c r="S18" s="77"/>
      <c r="AC18" t="s">
        <v>111</v>
      </c>
      <c r="AK18" s="54"/>
      <c r="AL18" s="54"/>
      <c r="AM18" s="54"/>
      <c r="AN18" s="54"/>
      <c r="AO18" s="54"/>
      <c r="AP18" s="54"/>
      <c r="AQ18" s="54"/>
      <c r="AR18" s="54"/>
    </row>
    <row r="19" spans="2:44" ht="18.75" x14ac:dyDescent="0.3">
      <c r="B19" s="55"/>
      <c r="D19" s="55"/>
      <c r="S19" s="78"/>
      <c r="AC19" t="s">
        <v>112</v>
      </c>
      <c r="AK19" s="54"/>
      <c r="AL19" s="54"/>
      <c r="AM19" s="54"/>
      <c r="AN19" s="54"/>
      <c r="AO19" s="54"/>
      <c r="AP19" s="54"/>
      <c r="AQ19" s="54"/>
      <c r="AR19" s="54"/>
    </row>
    <row r="20" spans="2:44" ht="18.75" x14ac:dyDescent="0.3">
      <c r="B20" s="55"/>
      <c r="D20" s="55"/>
      <c r="AC20" t="s">
        <v>113</v>
      </c>
      <c r="AK20" s="54"/>
      <c r="AL20" s="54"/>
      <c r="AM20" s="54"/>
      <c r="AN20" s="54"/>
      <c r="AO20" s="54"/>
      <c r="AP20" s="54"/>
      <c r="AQ20" s="54"/>
      <c r="AR20" s="54"/>
    </row>
    <row r="21" spans="2:44" x14ac:dyDescent="0.25">
      <c r="AC21" t="s">
        <v>114</v>
      </c>
      <c r="AK21" s="54"/>
      <c r="AL21" s="54"/>
      <c r="AM21" s="54"/>
      <c r="AN21" s="54"/>
      <c r="AO21" s="54"/>
      <c r="AP21" s="54"/>
      <c r="AQ21" s="54"/>
      <c r="AR21" s="54"/>
    </row>
    <row r="22" spans="2:44" x14ac:dyDescent="0.25">
      <c r="AC22" t="s">
        <v>115</v>
      </c>
      <c r="AK22" s="54"/>
      <c r="AL22" s="54"/>
      <c r="AM22" s="54"/>
      <c r="AN22" s="54"/>
      <c r="AO22" s="54"/>
      <c r="AP22" s="54"/>
      <c r="AQ22" s="54"/>
      <c r="AR22" s="54"/>
    </row>
    <row r="23" spans="2:44" x14ac:dyDescent="0.25">
      <c r="AC23" t="s">
        <v>116</v>
      </c>
      <c r="AK23" s="54"/>
      <c r="AL23" s="54"/>
      <c r="AM23" s="54"/>
      <c r="AN23" s="54"/>
      <c r="AO23" s="54"/>
      <c r="AP23" s="54"/>
      <c r="AQ23" s="54"/>
      <c r="AR23" s="54"/>
    </row>
    <row r="24" spans="2:44" x14ac:dyDescent="0.25">
      <c r="AC24" t="s">
        <v>117</v>
      </c>
      <c r="AK24" s="54"/>
      <c r="AL24" s="54"/>
      <c r="AM24" s="54"/>
      <c r="AN24" s="54"/>
      <c r="AO24" s="54"/>
      <c r="AP24" s="54"/>
      <c r="AQ24" s="54"/>
      <c r="AR24" s="54"/>
    </row>
    <row r="25" spans="2:44" x14ac:dyDescent="0.25">
      <c r="AC25" t="s">
        <v>118</v>
      </c>
      <c r="AK25" s="54"/>
      <c r="AL25" s="54"/>
      <c r="AM25" s="54"/>
      <c r="AN25" s="54"/>
      <c r="AO25" s="54"/>
      <c r="AP25" s="54"/>
      <c r="AQ25" s="54"/>
      <c r="AR25" s="54"/>
    </row>
    <row r="26" spans="2:44" x14ac:dyDescent="0.25">
      <c r="AC26" s="79" t="s">
        <v>119</v>
      </c>
      <c r="AK26" s="54"/>
      <c r="AL26" s="54"/>
      <c r="AM26" s="54"/>
      <c r="AN26" s="54"/>
      <c r="AO26" s="54"/>
      <c r="AP26" s="54"/>
      <c r="AQ26" s="54"/>
      <c r="AR26" s="54"/>
    </row>
    <row r="27" spans="2:44" x14ac:dyDescent="0.25">
      <c r="AC27" t="s">
        <v>120</v>
      </c>
      <c r="AK27" s="54"/>
      <c r="AL27" s="54"/>
      <c r="AM27" s="54"/>
      <c r="AN27" s="54"/>
      <c r="AO27" s="54"/>
      <c r="AP27" s="54"/>
      <c r="AQ27" s="54"/>
      <c r="AR27" s="54"/>
    </row>
    <row r="28" spans="2:44" x14ac:dyDescent="0.25">
      <c r="AC28" t="s">
        <v>121</v>
      </c>
      <c r="AK28" s="54"/>
      <c r="AL28" s="54"/>
      <c r="AM28" s="54"/>
      <c r="AN28" s="54"/>
      <c r="AO28" s="54"/>
      <c r="AP28" s="54"/>
      <c r="AQ28" s="54"/>
      <c r="AR28" s="54"/>
    </row>
    <row r="29" spans="2:44" x14ac:dyDescent="0.25">
      <c r="AC29" t="s">
        <v>122</v>
      </c>
      <c r="AK29" s="54"/>
      <c r="AL29" s="54"/>
      <c r="AM29" s="54"/>
      <c r="AN29" s="54"/>
      <c r="AO29" s="54"/>
      <c r="AP29" s="54"/>
      <c r="AQ29" s="54"/>
      <c r="AR29" s="54"/>
    </row>
    <row r="30" spans="2:44" x14ac:dyDescent="0.25">
      <c r="AC30" t="s">
        <v>123</v>
      </c>
      <c r="AK30" s="54"/>
      <c r="AL30" s="54"/>
      <c r="AM30" s="54"/>
      <c r="AN30" s="54"/>
      <c r="AO30" s="54"/>
      <c r="AP30" s="54"/>
      <c r="AQ30" s="54"/>
      <c r="AR30" s="54"/>
    </row>
    <row r="31" spans="2:44" x14ac:dyDescent="0.25">
      <c r="AC31" s="79" t="s">
        <v>124</v>
      </c>
      <c r="AK31" s="54"/>
      <c r="AL31" s="54"/>
      <c r="AM31" s="54"/>
      <c r="AN31" s="54"/>
      <c r="AO31" s="54"/>
      <c r="AP31" s="54"/>
      <c r="AQ31" s="54"/>
      <c r="AR31" s="54"/>
    </row>
    <row r="32" spans="2:44" x14ac:dyDescent="0.25">
      <c r="AC32" t="s">
        <v>125</v>
      </c>
      <c r="AK32" s="54"/>
      <c r="AL32" s="54"/>
      <c r="AM32" s="54"/>
      <c r="AN32" s="54"/>
      <c r="AO32" s="54"/>
      <c r="AP32" s="54"/>
      <c r="AQ32" s="54"/>
      <c r="AR32" s="54"/>
    </row>
    <row r="33" spans="26:44" x14ac:dyDescent="0.25">
      <c r="AC33" t="s">
        <v>126</v>
      </c>
      <c r="AK33" s="54"/>
      <c r="AL33" s="54"/>
      <c r="AM33" s="54"/>
      <c r="AN33" s="54"/>
      <c r="AO33" s="54"/>
      <c r="AP33" s="54"/>
      <c r="AQ33" s="54"/>
      <c r="AR33" s="54"/>
    </row>
    <row r="34" spans="26:44" x14ac:dyDescent="0.25">
      <c r="AC34" s="79" t="s">
        <v>127</v>
      </c>
      <c r="AK34" s="54"/>
      <c r="AL34" s="54"/>
      <c r="AM34" s="54"/>
      <c r="AN34" s="54"/>
      <c r="AO34" s="54"/>
      <c r="AP34" s="54"/>
      <c r="AQ34" s="54"/>
      <c r="AR34" s="54"/>
    </row>
    <row r="35" spans="26:44" x14ac:dyDescent="0.25">
      <c r="AC35" t="s">
        <v>128</v>
      </c>
      <c r="AK35" s="54"/>
      <c r="AL35" s="54"/>
      <c r="AM35" s="54"/>
      <c r="AN35" s="54"/>
      <c r="AO35" s="54"/>
      <c r="AP35" s="54"/>
      <c r="AQ35" s="54"/>
      <c r="AR35" s="54"/>
    </row>
    <row r="36" spans="26:44" x14ac:dyDescent="0.25">
      <c r="AC36" t="s">
        <v>129</v>
      </c>
      <c r="AK36" s="54"/>
      <c r="AL36" s="54"/>
      <c r="AM36" s="54"/>
      <c r="AN36" s="54"/>
      <c r="AO36" s="54"/>
      <c r="AP36" s="54"/>
      <c r="AQ36" s="54"/>
      <c r="AR36" s="54"/>
    </row>
    <row r="37" spans="26:44" x14ac:dyDescent="0.25">
      <c r="AC37" t="s">
        <v>130</v>
      </c>
      <c r="AK37" s="80"/>
      <c r="AL37" s="81"/>
      <c r="AM37" s="80"/>
      <c r="AN37" s="80"/>
      <c r="AO37" s="80"/>
      <c r="AP37" s="54"/>
      <c r="AQ37" s="54"/>
      <c r="AR37" s="54"/>
    </row>
    <row r="38" spans="26:44" x14ac:dyDescent="0.25">
      <c r="AC38" t="s">
        <v>131</v>
      </c>
      <c r="AK38" s="54"/>
      <c r="AL38" s="54"/>
      <c r="AM38" s="54"/>
      <c r="AN38" s="54"/>
      <c r="AO38" s="54"/>
      <c r="AP38" s="54"/>
      <c r="AQ38" s="54"/>
      <c r="AR38" s="54"/>
    </row>
    <row r="39" spans="26:44" x14ac:dyDescent="0.25">
      <c r="AC39" t="s">
        <v>132</v>
      </c>
      <c r="AJ39" s="82"/>
      <c r="AK39" s="54"/>
      <c r="AL39" s="54" t="s">
        <v>84</v>
      </c>
      <c r="AM39" s="54"/>
      <c r="AN39" s="54"/>
      <c r="AO39" s="54"/>
      <c r="AP39" s="54"/>
      <c r="AQ39" s="54"/>
      <c r="AR39" s="54"/>
    </row>
    <row r="40" spans="26:44" x14ac:dyDescent="0.25">
      <c r="AC40" s="79" t="s">
        <v>133</v>
      </c>
      <c r="AK40" s="54"/>
      <c r="AL40" s="54"/>
      <c r="AM40" s="54"/>
      <c r="AN40" s="54"/>
      <c r="AO40" s="54"/>
      <c r="AP40" s="54"/>
      <c r="AQ40" s="54"/>
      <c r="AR40" s="54"/>
    </row>
    <row r="41" spans="26:44" x14ac:dyDescent="0.25">
      <c r="Z41" t="s">
        <v>84</v>
      </c>
      <c r="AC41" t="s">
        <v>186</v>
      </c>
      <c r="AK41" s="54"/>
      <c r="AL41" s="54"/>
      <c r="AM41" s="54"/>
      <c r="AN41" s="54"/>
      <c r="AO41" s="54"/>
      <c r="AP41" s="54"/>
      <c r="AQ41" s="54"/>
      <c r="AR41" s="54"/>
    </row>
    <row r="42" spans="26:44" x14ac:dyDescent="0.25">
      <c r="AD42" t="s">
        <v>134</v>
      </c>
      <c r="AE42" t="s">
        <v>95</v>
      </c>
      <c r="AF42" t="s">
        <v>97</v>
      </c>
      <c r="AG42" t="s">
        <v>135</v>
      </c>
      <c r="AH42" t="s">
        <v>136</v>
      </c>
      <c r="AI42" t="s">
        <v>137</v>
      </c>
      <c r="AJ42" s="54" t="s">
        <v>138</v>
      </c>
      <c r="AK42" s="54" t="s">
        <v>103</v>
      </c>
      <c r="AL42" s="54"/>
      <c r="AM42" s="54"/>
      <c r="AN42" s="54"/>
      <c r="AO42" s="54"/>
      <c r="AP42" s="54"/>
      <c r="AQ42" s="54"/>
      <c r="AR42" s="54"/>
    </row>
    <row r="43" spans="26:44" x14ac:dyDescent="0.25">
      <c r="AC43" t="s">
        <v>139</v>
      </c>
      <c r="AD43">
        <v>2.886E-2</v>
      </c>
      <c r="AE43">
        <v>3.2370000000000003E-2</v>
      </c>
      <c r="AF43">
        <v>3.0700000000000002E-2</v>
      </c>
      <c r="AG43">
        <v>2.6239999999999999E-2</v>
      </c>
      <c r="AH43">
        <v>4.4319999999999998E-2</v>
      </c>
      <c r="AI43">
        <v>3.47132</v>
      </c>
      <c r="AJ43" s="54">
        <v>4.718E-2</v>
      </c>
      <c r="AK43" s="54">
        <v>0.25091000000000002</v>
      </c>
      <c r="AL43" s="54"/>
      <c r="AM43" s="54"/>
      <c r="AN43" s="54"/>
      <c r="AO43" s="54"/>
      <c r="AP43" s="54"/>
      <c r="AQ43" s="54"/>
      <c r="AR43" s="54"/>
    </row>
    <row r="44" spans="26:44" x14ac:dyDescent="0.25">
      <c r="AC44" t="s">
        <v>140</v>
      </c>
      <c r="AD44">
        <v>0.13417999999999999</v>
      </c>
      <c r="AE44">
        <v>0.15053</v>
      </c>
      <c r="AF44">
        <v>0.14274000000000001</v>
      </c>
      <c r="AG44">
        <v>0.12200999999999999</v>
      </c>
      <c r="AH44">
        <v>0.20607</v>
      </c>
      <c r="AI44">
        <v>16.140609999999999</v>
      </c>
      <c r="AJ44" s="54">
        <v>0.21937999999999999</v>
      </c>
      <c r="AK44" s="54">
        <v>1.1666399999999999</v>
      </c>
      <c r="AL44" s="54"/>
      <c r="AM44" s="54"/>
      <c r="AN44" s="54"/>
      <c r="AO44" s="54"/>
      <c r="AP44" s="54"/>
      <c r="AQ44" s="54"/>
      <c r="AR44" s="54"/>
    </row>
    <row r="45" spans="26:44" x14ac:dyDescent="0.25">
      <c r="AC45" t="s">
        <v>141</v>
      </c>
      <c r="AD45">
        <v>9.1630000000000003E-2</v>
      </c>
      <c r="AE45">
        <v>0.1028</v>
      </c>
      <c r="AF45">
        <v>9.7470000000000001E-2</v>
      </c>
      <c r="AG45">
        <v>8.3320000000000005E-2</v>
      </c>
      <c r="AH45">
        <v>0.14072000000000001</v>
      </c>
      <c r="AI45">
        <v>11.02219</v>
      </c>
      <c r="AJ45" s="54">
        <v>0.14981</v>
      </c>
      <c r="AK45" s="54">
        <v>0.79668000000000005</v>
      </c>
      <c r="AL45" s="54"/>
      <c r="AM45" s="54"/>
      <c r="AN45" s="54"/>
      <c r="AO45" s="54"/>
      <c r="AP45" s="54"/>
      <c r="AQ45" s="54"/>
      <c r="AR45" s="54"/>
    </row>
    <row r="46" spans="26:44" x14ac:dyDescent="0.25">
      <c r="AC46" t="s">
        <v>142</v>
      </c>
      <c r="AD46">
        <v>9.5479999999999995E-2</v>
      </c>
      <c r="AE46">
        <v>0.10712000000000001</v>
      </c>
      <c r="AF46">
        <v>0.10158</v>
      </c>
      <c r="AG46">
        <v>8.6830000000000004E-2</v>
      </c>
      <c r="AH46">
        <v>0.14665</v>
      </c>
      <c r="AI46">
        <v>11.486319999999999</v>
      </c>
      <c r="AJ46" s="54">
        <v>0.15612000000000001</v>
      </c>
      <c r="AK46" s="54">
        <v>0.83023000000000002</v>
      </c>
      <c r="AL46" s="54"/>
      <c r="AM46" s="54"/>
      <c r="AN46" s="54"/>
      <c r="AO46" s="54"/>
      <c r="AP46" s="54"/>
      <c r="AQ46" s="54"/>
      <c r="AR46" s="54"/>
    </row>
    <row r="47" spans="26:44" x14ac:dyDescent="0.25">
      <c r="AC47" t="s">
        <v>143</v>
      </c>
      <c r="AD47">
        <v>3.7359999999999997E-2</v>
      </c>
      <c r="AE47">
        <v>4.1919999999999999E-2</v>
      </c>
      <c r="AF47">
        <v>3.9750000000000001E-2</v>
      </c>
      <c r="AG47">
        <v>3.397E-2</v>
      </c>
      <c r="AH47">
        <v>5.738E-2</v>
      </c>
      <c r="AI47">
        <v>4.4944899999999999</v>
      </c>
      <c r="AJ47" s="54">
        <v>6.1089999999999998E-2</v>
      </c>
      <c r="AK47" s="54">
        <v>0.32485999999999998</v>
      </c>
      <c r="AL47" s="54"/>
      <c r="AM47" s="54"/>
      <c r="AN47" s="54"/>
      <c r="AO47" s="54"/>
      <c r="AP47" s="54"/>
      <c r="AQ47" s="54"/>
      <c r="AR47" s="54"/>
    </row>
    <row r="48" spans="26:44" x14ac:dyDescent="0.25">
      <c r="AC48" t="s">
        <v>144</v>
      </c>
      <c r="AD48">
        <v>0.89134999999999998</v>
      </c>
      <c r="AE48">
        <v>1</v>
      </c>
      <c r="AF48">
        <v>0.94828000000000001</v>
      </c>
      <c r="AG48">
        <v>0.81047000000000002</v>
      </c>
      <c r="AH48">
        <v>1.36896</v>
      </c>
      <c r="AI48">
        <v>107.22435</v>
      </c>
      <c r="AJ48" s="54">
        <v>1.45709</v>
      </c>
      <c r="AK48" s="54">
        <v>7.7501600000000002</v>
      </c>
      <c r="AL48" s="54"/>
      <c r="AM48" s="54"/>
      <c r="AN48" s="54"/>
      <c r="AO48" s="54"/>
      <c r="AP48" s="54"/>
      <c r="AQ48" s="54"/>
      <c r="AR48" s="54"/>
    </row>
    <row r="49" spans="29:44" x14ac:dyDescent="0.25">
      <c r="AC49" s="79" t="s">
        <v>145</v>
      </c>
      <c r="AD49">
        <v>0.61160000000000003</v>
      </c>
      <c r="AE49">
        <v>0.68630000000000002</v>
      </c>
      <c r="AF49">
        <v>0.65061999999999998</v>
      </c>
      <c r="AG49">
        <v>0.55615000000000003</v>
      </c>
      <c r="AH49">
        <v>0.93932000000000004</v>
      </c>
      <c r="AI49">
        <v>73.572220000000002</v>
      </c>
      <c r="AJ49" s="54">
        <v>1</v>
      </c>
      <c r="AK49" s="54">
        <v>5.3177899999999996</v>
      </c>
      <c r="AL49" s="54"/>
      <c r="AM49" s="54"/>
      <c r="AN49" s="54"/>
      <c r="AO49" s="54"/>
      <c r="AP49" s="54"/>
      <c r="AQ49" s="54"/>
      <c r="AR49" s="54"/>
    </row>
    <row r="50" spans="29:44" x14ac:dyDescent="0.25">
      <c r="AC50" t="s">
        <v>146</v>
      </c>
      <c r="AD50">
        <v>0.65110999999999997</v>
      </c>
      <c r="AE50">
        <v>0.73048000000000002</v>
      </c>
      <c r="AF50">
        <v>0.69266000000000005</v>
      </c>
      <c r="AG50">
        <v>0.59208000000000005</v>
      </c>
      <c r="AH50">
        <v>1</v>
      </c>
      <c r="AI50">
        <v>78.325220000000002</v>
      </c>
      <c r="AJ50" s="54">
        <v>1.0646</v>
      </c>
      <c r="AK50" s="54">
        <v>5.66134</v>
      </c>
      <c r="AL50" s="54"/>
      <c r="AM50" s="54"/>
      <c r="AN50" s="54"/>
      <c r="AO50" s="54"/>
      <c r="AP50" s="54"/>
      <c r="AQ50" s="54"/>
      <c r="AR50" s="54"/>
    </row>
    <row r="51" spans="29:44" x14ac:dyDescent="0.25">
      <c r="AC51" t="s">
        <v>147</v>
      </c>
      <c r="AD51">
        <v>0.11501</v>
      </c>
      <c r="AE51">
        <v>0.12903000000000001</v>
      </c>
      <c r="AF51">
        <v>0.12235</v>
      </c>
      <c r="AG51">
        <v>0.10458000000000001</v>
      </c>
      <c r="AH51">
        <v>0.17663999999999999</v>
      </c>
      <c r="AI51">
        <v>13.83511</v>
      </c>
      <c r="AJ51" s="54">
        <v>0.18804999999999999</v>
      </c>
      <c r="AK51" s="54">
        <v>1</v>
      </c>
      <c r="AL51" s="54"/>
      <c r="AM51" s="54"/>
      <c r="AN51" s="54"/>
      <c r="AO51" s="54"/>
      <c r="AP51" s="54"/>
      <c r="AQ51" s="54"/>
      <c r="AR51" s="54"/>
    </row>
    <row r="52" spans="29:44" x14ac:dyDescent="0.25">
      <c r="AC52" t="s">
        <v>148</v>
      </c>
      <c r="AD52">
        <v>0.63973000000000002</v>
      </c>
      <c r="AE52">
        <v>0.71770999999999996</v>
      </c>
      <c r="AF52">
        <v>0.68054999999999999</v>
      </c>
      <c r="AG52">
        <v>0.58172999999999997</v>
      </c>
      <c r="AH52">
        <v>0.98251999999999995</v>
      </c>
      <c r="AI52">
        <v>76.955799999999996</v>
      </c>
      <c r="AJ52" s="54">
        <v>1.04599</v>
      </c>
      <c r="AK52" s="54">
        <v>5.56236</v>
      </c>
      <c r="AL52" s="54"/>
      <c r="AM52" s="54"/>
      <c r="AN52" s="54"/>
      <c r="AO52" s="54"/>
      <c r="AP52" s="54"/>
      <c r="AQ52" s="54"/>
      <c r="AR52" s="54"/>
    </row>
    <row r="53" spans="29:44" x14ac:dyDescent="0.25">
      <c r="AC53" t="s">
        <v>149</v>
      </c>
      <c r="AD53">
        <v>0.57247000000000003</v>
      </c>
      <c r="AE53">
        <v>0.64254999999999995</v>
      </c>
      <c r="AF53">
        <v>0.60899999999999999</v>
      </c>
      <c r="AG53">
        <v>0.52056999999999998</v>
      </c>
      <c r="AH53">
        <v>0.87922999999999996</v>
      </c>
      <c r="AI53">
        <v>68.865530000000007</v>
      </c>
      <c r="AJ53" s="54">
        <v>0.93603000000000003</v>
      </c>
      <c r="AK53" s="54">
        <v>4.9775900000000002</v>
      </c>
      <c r="AL53" s="54"/>
      <c r="AM53" s="54"/>
      <c r="AN53" s="54"/>
      <c r="AO53" s="54"/>
      <c r="AP53" s="54"/>
      <c r="AQ53" s="54"/>
      <c r="AR53" s="54"/>
    </row>
    <row r="54" spans="29:44" x14ac:dyDescent="0.25">
      <c r="AC54" t="s">
        <v>150</v>
      </c>
      <c r="AD54">
        <v>3.0179999999999998E-2</v>
      </c>
      <c r="AE54">
        <v>3.3860000000000001E-2</v>
      </c>
      <c r="AF54">
        <v>3.2099999999999997E-2</v>
      </c>
      <c r="AG54">
        <v>2.7439999999999999E-2</v>
      </c>
      <c r="AH54">
        <v>4.6350000000000002E-2</v>
      </c>
      <c r="AI54">
        <v>3.6302599999999998</v>
      </c>
      <c r="AJ54" s="54">
        <v>4.9340000000000002E-2</v>
      </c>
      <c r="AK54" s="54">
        <v>0.26239000000000001</v>
      </c>
      <c r="AL54" s="54"/>
      <c r="AM54" s="54"/>
      <c r="AN54" s="54"/>
      <c r="AO54" s="54"/>
      <c r="AP54" s="54"/>
      <c r="AQ54" s="54"/>
      <c r="AR54" s="54"/>
    </row>
    <row r="55" spans="29:44" x14ac:dyDescent="0.25">
      <c r="AC55" t="s">
        <v>151</v>
      </c>
      <c r="AD55">
        <v>1</v>
      </c>
      <c r="AE55">
        <v>1.1218999999999999</v>
      </c>
      <c r="AF55">
        <v>1.0638099999999999</v>
      </c>
      <c r="AG55">
        <v>0.90934000000000004</v>
      </c>
      <c r="AH55">
        <v>1.5358400000000001</v>
      </c>
      <c r="AI55">
        <v>120.295</v>
      </c>
      <c r="AJ55" s="54">
        <v>1.63506</v>
      </c>
      <c r="AK55" s="54">
        <v>8.6949100000000001</v>
      </c>
      <c r="AL55" s="54"/>
      <c r="AM55" s="54"/>
      <c r="AN55" s="54"/>
      <c r="AO55" s="54"/>
      <c r="AP55" s="54"/>
      <c r="AQ55" s="54"/>
      <c r="AR55" s="54"/>
    </row>
    <row r="56" spans="29:44" x14ac:dyDescent="0.25">
      <c r="AC56" t="s">
        <v>152</v>
      </c>
      <c r="AD56">
        <v>2.81E-3</v>
      </c>
      <c r="AE56">
        <v>3.16E-3</v>
      </c>
      <c r="AF56">
        <v>2.99E-3</v>
      </c>
      <c r="AG56">
        <v>2.5600000000000002E-3</v>
      </c>
      <c r="AH56">
        <v>4.3200000000000001E-3</v>
      </c>
      <c r="AI56">
        <v>0.33854000000000001</v>
      </c>
      <c r="AJ56" s="54">
        <v>4.5999999999999999E-3</v>
      </c>
      <c r="AK56" s="54">
        <v>2.4469999999999999E-2</v>
      </c>
      <c r="AL56" s="54"/>
      <c r="AM56" s="54"/>
      <c r="AN56" s="54"/>
      <c r="AO56" s="54"/>
      <c r="AP56" s="54"/>
      <c r="AQ56" s="54"/>
      <c r="AR56" s="54"/>
    </row>
    <row r="57" spans="29:44" x14ac:dyDescent="0.25">
      <c r="AC57" t="s">
        <v>153</v>
      </c>
      <c r="AD57">
        <v>0.94001999999999997</v>
      </c>
      <c r="AE57">
        <v>1.05454</v>
      </c>
      <c r="AF57">
        <v>1</v>
      </c>
      <c r="AG57">
        <v>0.8548</v>
      </c>
      <c r="AH57">
        <v>1.4437199999999999</v>
      </c>
      <c r="AI57">
        <v>113.07940000000001</v>
      </c>
      <c r="AJ57" s="54">
        <v>1.53698</v>
      </c>
      <c r="AK57" s="54">
        <v>8.1733700000000002</v>
      </c>
      <c r="AL57" s="54"/>
      <c r="AM57" s="54"/>
      <c r="AN57" s="54"/>
      <c r="AO57" s="54"/>
      <c r="AP57" s="54"/>
      <c r="AQ57" s="54"/>
      <c r="AR57" s="54"/>
    </row>
    <row r="58" spans="29:44" x14ac:dyDescent="0.25">
      <c r="AC58" t="s">
        <v>154</v>
      </c>
      <c r="AD58">
        <v>0.13</v>
      </c>
      <c r="AE58">
        <v>0.14585000000000001</v>
      </c>
      <c r="AF58">
        <v>0.13829</v>
      </c>
      <c r="AG58">
        <v>0.11821</v>
      </c>
      <c r="AH58">
        <v>0.19966</v>
      </c>
      <c r="AI58">
        <v>15.638299999999999</v>
      </c>
      <c r="AJ58" s="54">
        <v>0.21256</v>
      </c>
      <c r="AK58" s="54">
        <v>1.1303399999999999</v>
      </c>
      <c r="AL58" s="54"/>
      <c r="AM58" s="54"/>
      <c r="AN58" s="54"/>
      <c r="AO58" s="54"/>
      <c r="AP58" s="54"/>
      <c r="AQ58" s="54"/>
      <c r="AR58" s="54"/>
    </row>
    <row r="59" spans="29:44" x14ac:dyDescent="0.25">
      <c r="AC59" t="s">
        <v>155</v>
      </c>
      <c r="AD59">
        <v>1.0996999999999999</v>
      </c>
      <c r="AE59">
        <v>1.2338499999999999</v>
      </c>
      <c r="AF59">
        <v>1.16987</v>
      </c>
      <c r="AG59">
        <v>1</v>
      </c>
      <c r="AH59">
        <v>1.68896</v>
      </c>
      <c r="AI59">
        <v>132.28825000000001</v>
      </c>
      <c r="AJ59" s="54">
        <v>1.7980700000000001</v>
      </c>
      <c r="AK59" s="54">
        <v>9.5617800000000006</v>
      </c>
      <c r="AL59" s="54"/>
      <c r="AM59" s="54"/>
      <c r="AN59" s="54"/>
      <c r="AO59" s="54"/>
      <c r="AP59" s="54"/>
      <c r="AQ59" s="54"/>
      <c r="AR59" s="54"/>
    </row>
    <row r="60" spans="29:44" x14ac:dyDescent="0.25">
      <c r="AC60" t="s">
        <v>156</v>
      </c>
      <c r="AD60">
        <v>0.26023000000000002</v>
      </c>
      <c r="AE60">
        <v>0.29194999999999999</v>
      </c>
      <c r="AF60">
        <v>0.27683000000000002</v>
      </c>
      <c r="AG60">
        <v>0.23663000000000001</v>
      </c>
      <c r="AH60">
        <v>0.39967000000000003</v>
      </c>
      <c r="AI60">
        <v>31.303999999999998</v>
      </c>
      <c r="AJ60" s="54">
        <v>0.42548999999999998</v>
      </c>
      <c r="AK60" s="54">
        <v>2.2626499999999998</v>
      </c>
      <c r="AL60" s="54"/>
      <c r="AM60" s="54"/>
      <c r="AN60" s="54"/>
      <c r="AO60" s="54"/>
      <c r="AP60" s="54"/>
      <c r="AQ60" s="54"/>
      <c r="AR60" s="54"/>
    </row>
    <row r="61" spans="29:44" x14ac:dyDescent="0.25">
      <c r="AC61" t="s">
        <v>157</v>
      </c>
      <c r="AD61">
        <v>1.08E-3</v>
      </c>
      <c r="AE61">
        <v>1.2199999999999999E-3</v>
      </c>
      <c r="AF61">
        <v>1.15E-3</v>
      </c>
      <c r="AG61">
        <v>9.8999999999999999E-4</v>
      </c>
      <c r="AH61">
        <v>1.67E-3</v>
      </c>
      <c r="AI61">
        <v>0.13052</v>
      </c>
      <c r="AJ61" s="54">
        <v>1.7700000000000001E-3</v>
      </c>
      <c r="AK61" s="54">
        <v>9.4299999999999991E-3</v>
      </c>
      <c r="AL61" s="54"/>
      <c r="AM61" s="54"/>
      <c r="AN61" s="54"/>
      <c r="AO61" s="54"/>
      <c r="AP61" s="54"/>
      <c r="AQ61" s="54"/>
      <c r="AR61" s="54"/>
    </row>
    <row r="62" spans="29:44" x14ac:dyDescent="0.25">
      <c r="AC62" t="s">
        <v>158</v>
      </c>
      <c r="AD62">
        <v>3.8670000000000003E-2</v>
      </c>
      <c r="AE62">
        <v>4.342E-2</v>
      </c>
      <c r="AF62">
        <v>4.1140000000000003E-2</v>
      </c>
      <c r="AG62">
        <v>3.5159999999999997E-2</v>
      </c>
      <c r="AH62">
        <v>5.9389999999999998E-2</v>
      </c>
      <c r="AI62">
        <v>4.65158</v>
      </c>
      <c r="AJ62" s="54">
        <v>6.3219999999999998E-2</v>
      </c>
      <c r="AK62" s="54">
        <v>0.33622000000000002</v>
      </c>
      <c r="AL62" s="54"/>
      <c r="AM62" s="54"/>
      <c r="AN62" s="54"/>
      <c r="AO62" s="54"/>
      <c r="AP62" s="54"/>
      <c r="AQ62" s="54"/>
      <c r="AR62" s="54"/>
    </row>
    <row r="63" spans="29:44" x14ac:dyDescent="0.25">
      <c r="AC63" t="s">
        <v>159</v>
      </c>
      <c r="AD63">
        <v>1.7829999999999999E-2</v>
      </c>
      <c r="AE63">
        <v>2.001E-2</v>
      </c>
      <c r="AF63">
        <v>1.8970000000000001E-2</v>
      </c>
      <c r="AG63">
        <v>1.6219999999999998E-2</v>
      </c>
      <c r="AH63">
        <v>2.7390000000000001E-2</v>
      </c>
      <c r="AI63">
        <v>2.14514</v>
      </c>
      <c r="AJ63" s="54">
        <v>2.9159999999999998E-2</v>
      </c>
      <c r="AK63" s="54">
        <v>0.15504999999999999</v>
      </c>
      <c r="AL63" s="54"/>
      <c r="AM63" s="54"/>
      <c r="AN63" s="54"/>
      <c r="AO63" s="54"/>
      <c r="AP63" s="54"/>
      <c r="AQ63" s="54"/>
      <c r="AR63" s="54"/>
    </row>
    <row r="64" spans="29:44" x14ac:dyDescent="0.25">
      <c r="AC64" t="s">
        <v>160</v>
      </c>
      <c r="AD64">
        <v>5.1549999999999999E-2</v>
      </c>
      <c r="AE64">
        <v>5.7829999999999999E-2</v>
      </c>
      <c r="AF64">
        <v>5.484E-2</v>
      </c>
      <c r="AG64">
        <v>4.6870000000000002E-2</v>
      </c>
      <c r="AH64">
        <v>7.9170000000000004E-2</v>
      </c>
      <c r="AI64">
        <v>6.2009800000000004</v>
      </c>
      <c r="AJ64" s="54">
        <v>8.4279999999999994E-2</v>
      </c>
      <c r="AK64" s="54">
        <v>0.44821</v>
      </c>
      <c r="AL64" s="54"/>
      <c r="AM64" s="54"/>
      <c r="AN64" s="54"/>
      <c r="AO64" s="54"/>
      <c r="AP64" s="54"/>
      <c r="AQ64" s="54"/>
      <c r="AR64" s="54"/>
    </row>
    <row r="65" spans="29:44" x14ac:dyDescent="0.25">
      <c r="AC65" t="s">
        <v>161</v>
      </c>
      <c r="AD65">
        <v>0.16248000000000001</v>
      </c>
      <c r="AE65">
        <v>0.18229000000000001</v>
      </c>
      <c r="AF65">
        <v>0.17285</v>
      </c>
      <c r="AG65">
        <v>0.14774999999999999</v>
      </c>
      <c r="AH65">
        <v>0.24954999999999999</v>
      </c>
      <c r="AI65">
        <v>19.545860000000001</v>
      </c>
      <c r="AJ65" s="54">
        <v>0.26567000000000002</v>
      </c>
      <c r="AK65" s="54">
        <v>1.4127700000000001</v>
      </c>
      <c r="AL65" s="54"/>
      <c r="AM65" s="54"/>
      <c r="AN65" s="54"/>
      <c r="AO65" s="54"/>
      <c r="AP65" s="54"/>
      <c r="AQ65" s="54"/>
      <c r="AR65" s="54"/>
    </row>
    <row r="66" spans="29:44" x14ac:dyDescent="0.25">
      <c r="AC66" t="s">
        <v>162</v>
      </c>
      <c r="AD66">
        <v>0.12584000000000001</v>
      </c>
      <c r="AE66">
        <v>0.14116999999999999</v>
      </c>
      <c r="AF66">
        <v>0.13386000000000001</v>
      </c>
      <c r="AG66">
        <v>0.11443</v>
      </c>
      <c r="AH66">
        <v>0.19325999999999999</v>
      </c>
      <c r="AI66">
        <v>15.13735</v>
      </c>
      <c r="AJ66" s="54">
        <v>0.20574999999999999</v>
      </c>
      <c r="AK66" s="54">
        <v>1.09413</v>
      </c>
      <c r="AL66" s="54"/>
      <c r="AM66" s="54"/>
      <c r="AN66" s="54"/>
      <c r="AO66" s="54"/>
      <c r="AP66" s="54"/>
      <c r="AQ66" s="54"/>
      <c r="AR66" s="54"/>
    </row>
    <row r="67" spans="29:44" x14ac:dyDescent="0.25">
      <c r="AC67" t="s">
        <v>163</v>
      </c>
      <c r="AD67">
        <v>0.20757999999999999</v>
      </c>
      <c r="AE67">
        <v>0.23288</v>
      </c>
      <c r="AF67">
        <v>0.22083</v>
      </c>
      <c r="AG67">
        <v>0.18876000000000001</v>
      </c>
      <c r="AH67">
        <v>0.31880999999999998</v>
      </c>
      <c r="AI67">
        <v>24.970929999999999</v>
      </c>
      <c r="AJ67" s="54">
        <v>0.33940999999999999</v>
      </c>
      <c r="AK67" s="54">
        <v>1.8048999999999999</v>
      </c>
      <c r="AL67" s="54"/>
      <c r="AM67" s="54"/>
      <c r="AN67" s="54"/>
      <c r="AO67" s="54"/>
      <c r="AP67" s="54"/>
      <c r="AQ67" s="54"/>
      <c r="AR67" s="54"/>
    </row>
    <row r="68" spans="29:44" x14ac:dyDescent="0.25">
      <c r="AC68" t="s">
        <v>164</v>
      </c>
      <c r="AD68">
        <v>1.278E-2</v>
      </c>
      <c r="AE68">
        <v>1.434E-2</v>
      </c>
      <c r="AF68">
        <v>1.3599999999999999E-2</v>
      </c>
      <c r="AG68">
        <v>1.162E-2</v>
      </c>
      <c r="AH68">
        <v>1.9630000000000002E-2</v>
      </c>
      <c r="AI68">
        <v>1.53782</v>
      </c>
      <c r="AJ68" s="54">
        <v>2.0899999999999998E-2</v>
      </c>
      <c r="AK68">
        <v>0.11115</v>
      </c>
    </row>
    <row r="69" spans="29:44" x14ac:dyDescent="0.25">
      <c r="AC69" t="s">
        <v>165</v>
      </c>
      <c r="AD69">
        <v>1.179E-2</v>
      </c>
      <c r="AE69">
        <v>1.3220000000000001E-2</v>
      </c>
      <c r="AF69">
        <v>1.2540000000000001E-2</v>
      </c>
      <c r="AG69">
        <v>1.072E-2</v>
      </c>
      <c r="AH69">
        <v>1.8100000000000002E-2</v>
      </c>
      <c r="AI69">
        <v>1.41795</v>
      </c>
      <c r="AJ69" s="54">
        <v>1.9269999999999999E-2</v>
      </c>
      <c r="AK69">
        <v>0.10249</v>
      </c>
    </row>
    <row r="70" spans="29:44" x14ac:dyDescent="0.25">
      <c r="AC70" t="s">
        <v>166</v>
      </c>
      <c r="AD70">
        <v>5.3200000000000001E-3</v>
      </c>
      <c r="AE70">
        <v>5.96E-3</v>
      </c>
      <c r="AF70">
        <v>5.6600000000000001E-3</v>
      </c>
      <c r="AG70">
        <v>4.8300000000000001E-3</v>
      </c>
      <c r="AH70">
        <v>8.1600000000000006E-3</v>
      </c>
      <c r="AI70">
        <v>0.63951999999999998</v>
      </c>
      <c r="AJ70" s="54">
        <v>8.6899999999999998E-3</v>
      </c>
      <c r="AK70">
        <v>4.6219999999999997E-2</v>
      </c>
    </row>
    <row r="71" spans="29:44" x14ac:dyDescent="0.25">
      <c r="AC71" t="s">
        <v>167</v>
      </c>
      <c r="AD71">
        <v>6.0000000000000002E-5</v>
      </c>
      <c r="AE71">
        <v>6.9999999999999994E-5</v>
      </c>
      <c r="AF71">
        <v>6.9999999999999994E-5</v>
      </c>
      <c r="AG71">
        <v>6.0000000000000002E-5</v>
      </c>
      <c r="AH71">
        <v>1E-4</v>
      </c>
      <c r="AI71">
        <v>7.5599999999999999E-3</v>
      </c>
      <c r="AJ71" s="54">
        <v>1E-4</v>
      </c>
      <c r="AK71">
        <v>5.5000000000000003E-4</v>
      </c>
    </row>
    <row r="72" spans="29:44" x14ac:dyDescent="0.25">
      <c r="AC72" t="s">
        <v>168</v>
      </c>
      <c r="AD72">
        <v>7.3999999999999999E-4</v>
      </c>
      <c r="AE72">
        <v>8.3000000000000001E-4</v>
      </c>
      <c r="AF72">
        <v>7.9000000000000001E-4</v>
      </c>
      <c r="AG72">
        <v>6.7000000000000002E-4</v>
      </c>
      <c r="AH72">
        <v>1.14E-3</v>
      </c>
      <c r="AI72">
        <v>8.9029999999999998E-2</v>
      </c>
      <c r="AJ72" s="54">
        <v>1.2099999999999999E-3</v>
      </c>
      <c r="AK72">
        <v>6.4400000000000004E-3</v>
      </c>
    </row>
    <row r="73" spans="29:44" x14ac:dyDescent="0.25">
      <c r="AC73" t="s">
        <v>169</v>
      </c>
      <c r="AD73">
        <v>8.3099999999999997E-3</v>
      </c>
      <c r="AE73">
        <v>9.3299999999999998E-3</v>
      </c>
      <c r="AF73">
        <v>8.8400000000000006E-3</v>
      </c>
      <c r="AG73">
        <v>7.5599999999999999E-3</v>
      </c>
      <c r="AH73">
        <v>1.277E-2</v>
      </c>
      <c r="AI73">
        <v>1</v>
      </c>
      <c r="AJ73" s="54">
        <v>1.359E-2</v>
      </c>
      <c r="AK73" s="54">
        <v>7.2279999999999997E-2</v>
      </c>
    </row>
    <row r="74" spans="29:44" x14ac:dyDescent="0.25">
      <c r="AC74" t="s">
        <v>170</v>
      </c>
      <c r="AD74">
        <v>0.22377</v>
      </c>
      <c r="AE74">
        <v>0.25105</v>
      </c>
      <c r="AF74">
        <v>0.23805000000000001</v>
      </c>
      <c r="AG74">
        <v>0.20349</v>
      </c>
      <c r="AH74">
        <v>0.34367999999999999</v>
      </c>
      <c r="AI74">
        <v>26.918859999999999</v>
      </c>
      <c r="AJ74" s="54">
        <v>0.36587999999999998</v>
      </c>
      <c r="AK74" s="54">
        <v>1.9456899999999999</v>
      </c>
    </row>
    <row r="75" spans="29:44" x14ac:dyDescent="0.25">
      <c r="AC75" t="s">
        <v>187</v>
      </c>
      <c r="AK75" s="54"/>
    </row>
    <row r="76" spans="29:44" x14ac:dyDescent="0.25">
      <c r="AC76" t="s">
        <v>171</v>
      </c>
      <c r="AK76" s="54"/>
    </row>
    <row r="77" spans="29:44" x14ac:dyDescent="0.25">
      <c r="AC77" t="s">
        <v>172</v>
      </c>
      <c r="AK77" s="54"/>
    </row>
    <row r="78" spans="29:44" x14ac:dyDescent="0.25">
      <c r="AC78" t="s">
        <v>173</v>
      </c>
      <c r="AK78" s="54"/>
    </row>
    <row r="79" spans="29:44" x14ac:dyDescent="0.25">
      <c r="AC79" t="s">
        <v>174</v>
      </c>
      <c r="AK79" s="54"/>
    </row>
    <row r="80" spans="29:44" x14ac:dyDescent="0.25">
      <c r="AC80" t="s">
        <v>175</v>
      </c>
      <c r="AK80" s="54"/>
    </row>
    <row r="81" spans="29:37" x14ac:dyDescent="0.25">
      <c r="AC81" t="s">
        <v>174</v>
      </c>
      <c r="AK81" s="54"/>
    </row>
    <row r="82" spans="29:37" x14ac:dyDescent="0.25">
      <c r="AC82" t="s">
        <v>176</v>
      </c>
      <c r="AK82" s="54"/>
    </row>
    <row r="83" spans="29:37" x14ac:dyDescent="0.25">
      <c r="AC83" t="s">
        <v>177</v>
      </c>
      <c r="AK83" s="54"/>
    </row>
    <row r="84" spans="29:37" x14ac:dyDescent="0.25">
      <c r="AC84" t="s">
        <v>178</v>
      </c>
      <c r="AK84" s="54"/>
    </row>
    <row r="85" spans="29:37" x14ac:dyDescent="0.25">
      <c r="AC85" t="s">
        <v>108</v>
      </c>
      <c r="AK85" s="54"/>
    </row>
    <row r="86" spans="29:37" x14ac:dyDescent="0.25">
      <c r="AC86" t="s">
        <v>179</v>
      </c>
      <c r="AK86" s="54"/>
    </row>
    <row r="87" spans="29:37" x14ac:dyDescent="0.25">
      <c r="AC87" t="s">
        <v>104</v>
      </c>
      <c r="AK87" s="54"/>
    </row>
    <row r="88" spans="29:37" x14ac:dyDescent="0.25">
      <c r="AC88" t="s">
        <v>107</v>
      </c>
      <c r="AK88" s="54"/>
    </row>
    <row r="89" spans="29:37" x14ac:dyDescent="0.25">
      <c r="AC89" t="s">
        <v>180</v>
      </c>
      <c r="AK89" s="54"/>
    </row>
    <row r="90" spans="29:37" x14ac:dyDescent="0.25">
      <c r="AC90" t="s">
        <v>181</v>
      </c>
      <c r="AK90" s="54"/>
    </row>
    <row r="91" spans="29:37" x14ac:dyDescent="0.25">
      <c r="AC91" t="s">
        <v>182</v>
      </c>
      <c r="AK91" s="54"/>
    </row>
    <row r="113" spans="36:36" x14ac:dyDescent="0.25">
      <c r="AJ113" s="83"/>
    </row>
    <row r="133" spans="36:36" x14ac:dyDescent="0.25">
      <c r="AJ133" s="83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19685039370078741" right="0.11811023622047245" top="0.74803149606299213" bottom="0.74803149606299213" header="0.31496062992125984" footer="0.31496062992125984"/>
  <pageSetup paperSize="9" scale="7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R96"/>
  <sheetViews>
    <sheetView showGridLines="0" tabSelected="1" zoomScale="160" zoomScaleNormal="160" workbookViewId="0">
      <selection activeCell="K17" sqref="K17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3" max="13" width="10.7109375" hidden="1" customWidth="1"/>
    <col min="14" max="18" width="11.42578125" hidden="1" customWidth="1"/>
  </cols>
  <sheetData>
    <row r="1" spans="2:17" x14ac:dyDescent="0.25">
      <c r="B1" s="92" t="s">
        <v>66</v>
      </c>
      <c r="C1" s="92"/>
      <c r="D1" s="92"/>
      <c r="E1" s="92"/>
      <c r="F1" s="92"/>
      <c r="G1" s="92"/>
      <c r="H1" s="92"/>
      <c r="I1" s="92"/>
      <c r="J1" s="92"/>
      <c r="K1" s="92"/>
      <c r="M1" t="s">
        <v>13</v>
      </c>
      <c r="N1">
        <v>1.0649999999999999</v>
      </c>
    </row>
    <row r="2" spans="2:17" x14ac:dyDescent="0.25">
      <c r="B2" s="16" t="s">
        <v>67</v>
      </c>
      <c r="C2" s="40"/>
      <c r="D2" s="40"/>
      <c r="E2" s="40"/>
      <c r="F2" s="40"/>
      <c r="G2" s="40"/>
      <c r="H2" s="41"/>
      <c r="I2" s="40"/>
      <c r="M2" t="s">
        <v>78</v>
      </c>
      <c r="N2">
        <v>35.714285699999998</v>
      </c>
    </row>
    <row r="3" spans="2:17" x14ac:dyDescent="0.25">
      <c r="B3" s="16" t="s">
        <v>68</v>
      </c>
      <c r="C3" s="40"/>
      <c r="D3" s="40"/>
      <c r="E3" s="40"/>
      <c r="F3" s="40"/>
      <c r="G3" s="40"/>
      <c r="H3" s="41"/>
      <c r="I3" s="40"/>
      <c r="M3" t="s">
        <v>79</v>
      </c>
      <c r="N3" s="49">
        <f>+Feuil1!M12</f>
        <v>34.650034650034648</v>
      </c>
    </row>
    <row r="4" spans="2:17" x14ac:dyDescent="0.25">
      <c r="B4" s="16" t="s">
        <v>69</v>
      </c>
      <c r="C4" s="43"/>
      <c r="D4" s="43"/>
      <c r="E4" s="43"/>
      <c r="F4" s="43"/>
      <c r="G4" s="43"/>
      <c r="H4" s="43"/>
      <c r="I4" s="43"/>
    </row>
    <row r="5" spans="2:17" x14ac:dyDescent="0.25">
      <c r="B5" s="16" t="s">
        <v>62</v>
      </c>
      <c r="C5" s="40"/>
      <c r="D5" s="40"/>
      <c r="E5" s="40"/>
      <c r="F5" s="40"/>
      <c r="G5" s="40"/>
      <c r="H5" s="41"/>
      <c r="I5" s="40"/>
    </row>
    <row r="6" spans="2:17" x14ac:dyDescent="0.25">
      <c r="B6" s="16" t="s">
        <v>63</v>
      </c>
      <c r="C6" s="40"/>
      <c r="D6" s="40"/>
      <c r="E6" s="40"/>
      <c r="F6" s="40"/>
      <c r="G6" s="40"/>
      <c r="H6" s="41"/>
      <c r="I6" s="40"/>
    </row>
    <row r="7" spans="2:17" x14ac:dyDescent="0.25">
      <c r="B7" s="16" t="s">
        <v>70</v>
      </c>
      <c r="C7" s="40"/>
      <c r="D7" s="40"/>
      <c r="E7" s="40"/>
      <c r="F7" s="40"/>
      <c r="G7" s="40"/>
      <c r="H7" s="41"/>
      <c r="I7" s="40"/>
    </row>
    <row r="8" spans="2:17" x14ac:dyDescent="0.25">
      <c r="B8" s="16" t="s">
        <v>71</v>
      </c>
      <c r="C8" s="40"/>
      <c r="D8" s="40"/>
      <c r="E8" s="40"/>
      <c r="F8" s="40"/>
      <c r="G8" s="40"/>
      <c r="H8" s="41"/>
      <c r="I8" s="40"/>
    </row>
    <row r="9" spans="2:17" x14ac:dyDescent="0.25">
      <c r="B9" s="16" t="s">
        <v>64</v>
      </c>
      <c r="C9" s="40"/>
      <c r="D9" s="40"/>
      <c r="E9" s="40"/>
      <c r="F9" s="40"/>
      <c r="G9" s="40"/>
      <c r="H9" s="41"/>
      <c r="I9" s="40"/>
    </row>
    <row r="10" spans="2:17" x14ac:dyDescent="0.25">
      <c r="B10" s="50" t="s">
        <v>183</v>
      </c>
      <c r="C10" s="40"/>
      <c r="D10" s="40"/>
      <c r="E10" s="40"/>
      <c r="F10" s="40"/>
      <c r="G10" s="40"/>
      <c r="H10" s="41"/>
      <c r="I10" s="40"/>
    </row>
    <row r="11" spans="2:17" x14ac:dyDescent="0.25">
      <c r="B11" s="50"/>
      <c r="C11" s="86"/>
      <c r="D11" s="86"/>
      <c r="E11" s="86"/>
      <c r="F11" s="86"/>
      <c r="G11" s="86"/>
      <c r="H11" s="86"/>
      <c r="I11" s="86"/>
    </row>
    <row r="12" spans="2:17" x14ac:dyDescent="0.25">
      <c r="B12" s="18" t="s">
        <v>0</v>
      </c>
      <c r="E12" s="89" t="s">
        <v>16</v>
      </c>
      <c r="F12" s="90"/>
      <c r="G12" s="90"/>
      <c r="H12" s="90"/>
      <c r="I12" s="91"/>
    </row>
    <row r="13" spans="2:17" x14ac:dyDescent="0.25">
      <c r="D13" s="1"/>
      <c r="E13" s="42" t="s">
        <v>18</v>
      </c>
      <c r="F13" s="44" t="s">
        <v>59</v>
      </c>
      <c r="G13" s="45" t="s">
        <v>60</v>
      </c>
      <c r="H13" s="45" t="s">
        <v>61</v>
      </c>
      <c r="I13" s="45"/>
    </row>
    <row r="14" spans="2:17" x14ac:dyDescent="0.25">
      <c r="D14" s="17" t="s">
        <v>28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17</v>
      </c>
    </row>
    <row r="15" spans="2:17" s="39" customFormat="1" ht="12" customHeight="1" x14ac:dyDescent="0.25">
      <c r="B15" s="46"/>
      <c r="C15" s="47"/>
      <c r="D15" s="47"/>
      <c r="E15" s="94" t="s">
        <v>50</v>
      </c>
      <c r="F15" s="95"/>
      <c r="G15" s="95"/>
      <c r="H15" s="95"/>
      <c r="I15" s="96"/>
    </row>
    <row r="16" spans="2:17" x14ac:dyDescent="0.25">
      <c r="B16" s="19" t="s">
        <v>19</v>
      </c>
      <c r="C16" s="20"/>
      <c r="D16" s="28" t="s">
        <v>29</v>
      </c>
      <c r="E16" s="31">
        <f t="shared" ref="E16:I25" si="0">+M16</f>
        <v>2183.0528562696359</v>
      </c>
      <c r="F16" s="31">
        <f t="shared" si="0"/>
        <v>1384.2492851605859</v>
      </c>
      <c r="G16" s="31">
        <f t="shared" si="0"/>
        <v>1118.3249995526701</v>
      </c>
      <c r="H16" s="31">
        <f t="shared" si="0"/>
        <v>1004.94642816945</v>
      </c>
      <c r="I16" s="31">
        <f t="shared" si="0"/>
        <v>415.37785697670597</v>
      </c>
      <c r="J16" s="14"/>
      <c r="K16" s="15"/>
      <c r="L16" s="15"/>
      <c r="M16" s="84">
        <f>2118/$N$3*$N$2</f>
        <v>2183.0528562696359</v>
      </c>
      <c r="N16" s="84">
        <f>1343/$N$3*$N$2</f>
        <v>1384.2492851605859</v>
      </c>
      <c r="O16" s="84">
        <f>1085/$N$3*$N$2</f>
        <v>1118.3249995526701</v>
      </c>
      <c r="P16" s="84">
        <f>975/$N$3*$N$2</f>
        <v>1004.94642816945</v>
      </c>
      <c r="Q16" s="84">
        <f>403/$N$3*$N$2</f>
        <v>415.37785697670597</v>
      </c>
    </row>
    <row r="17" spans="2:17" x14ac:dyDescent="0.25">
      <c r="B17" s="17" t="s">
        <v>19</v>
      </c>
      <c r="C17" s="20"/>
      <c r="D17" s="28" t="s">
        <v>30</v>
      </c>
      <c r="E17" s="31">
        <f t="shared" si="0"/>
        <v>2440.7314275951358</v>
      </c>
      <c r="F17" s="31">
        <f t="shared" si="0"/>
        <v>1523.3957136763561</v>
      </c>
      <c r="G17" s="31">
        <f t="shared" si="0"/>
        <v>1218.3042852269641</v>
      </c>
      <c r="H17" s="31">
        <f t="shared" si="0"/>
        <v>1081.219285281798</v>
      </c>
      <c r="I17" s="31">
        <f t="shared" si="0"/>
        <v>210.26571420160801</v>
      </c>
      <c r="J17" s="14"/>
      <c r="K17" s="15"/>
      <c r="L17" s="15"/>
      <c r="M17" s="84">
        <f>2368/$N$3*$N$2</f>
        <v>2440.7314275951358</v>
      </c>
      <c r="N17" s="84">
        <f>1478/$N$3*$N$2</f>
        <v>1523.3957136763561</v>
      </c>
      <c r="O17" s="84">
        <f>1182/$N$3*$N$2</f>
        <v>1218.3042852269641</v>
      </c>
      <c r="P17" s="84">
        <f>1049/$N$3*$N$2</f>
        <v>1081.219285281798</v>
      </c>
      <c r="Q17" s="84">
        <f>204/$N$3*$N$2</f>
        <v>210.26571420160801</v>
      </c>
    </row>
    <row r="18" spans="2:17" x14ac:dyDescent="0.25">
      <c r="B18" s="17" t="s">
        <v>40</v>
      </c>
      <c r="C18" s="20"/>
      <c r="D18" s="28" t="s">
        <v>41</v>
      </c>
      <c r="E18" s="31">
        <f>+M18</f>
        <v>2480.929284721914</v>
      </c>
      <c r="F18" s="31">
        <f t="shared" si="0"/>
        <v>1436.8157137109879</v>
      </c>
      <c r="G18" s="31">
        <f t="shared" si="0"/>
        <v>1088.4342852789118</v>
      </c>
      <c r="H18" s="31">
        <f t="shared" si="0"/>
        <v>930.73499962770597</v>
      </c>
      <c r="I18" s="31">
        <f t="shared" si="0"/>
        <v>216.44999991341999</v>
      </c>
      <c r="J18" s="14"/>
      <c r="K18" s="15"/>
      <c r="L18" s="15"/>
      <c r="M18" s="84">
        <f>2407/$N$3*$N$2</f>
        <v>2480.929284721914</v>
      </c>
      <c r="N18" s="84">
        <f>1394/$N$3*$N$2</f>
        <v>1436.8157137109879</v>
      </c>
      <c r="O18" s="84">
        <f>1056/$N$3*$N$2</f>
        <v>1088.4342852789118</v>
      </c>
      <c r="P18" s="84">
        <f>903/$N$3*$N$2</f>
        <v>930.73499962770597</v>
      </c>
      <c r="Q18" s="84">
        <f>210/$N$3*$N$2</f>
        <v>216.44999991341999</v>
      </c>
    </row>
    <row r="19" spans="2:17" x14ac:dyDescent="0.25">
      <c r="B19" s="17" t="s">
        <v>40</v>
      </c>
      <c r="C19" s="20"/>
      <c r="D19" s="28" t="s">
        <v>65</v>
      </c>
      <c r="E19" s="31">
        <f t="shared" ref="E19:E25" si="1">+M19</f>
        <v>2360.3357133415798</v>
      </c>
      <c r="F19" s="31">
        <f t="shared" si="0"/>
        <v>1382.1878565899822</v>
      </c>
      <c r="G19" s="31">
        <f t="shared" si="0"/>
        <v>1056.48214243455</v>
      </c>
      <c r="H19" s="31">
        <f t="shared" si="0"/>
        <v>920.42785677468601</v>
      </c>
      <c r="I19" s="31">
        <f t="shared" si="0"/>
        <v>198.92785706328598</v>
      </c>
      <c r="J19" s="14"/>
      <c r="K19" s="15"/>
      <c r="L19" s="15"/>
      <c r="M19" s="84">
        <f>2290/$N$3*$N$2</f>
        <v>2360.3357133415798</v>
      </c>
      <c r="N19" s="84">
        <f>1341/$N$3*$N$2</f>
        <v>1382.1878565899822</v>
      </c>
      <c r="O19" s="84">
        <f>1025/$N$3*$N$2</f>
        <v>1056.48214243455</v>
      </c>
      <c r="P19" s="84">
        <f>893/$N$3*$N$2</f>
        <v>920.42785677468601</v>
      </c>
      <c r="Q19" s="84">
        <f>193/$N$3*$N$2</f>
        <v>198.92785706328598</v>
      </c>
    </row>
    <row r="20" spans="2:17" x14ac:dyDescent="0.25">
      <c r="B20" s="19" t="s">
        <v>20</v>
      </c>
      <c r="C20" s="20"/>
      <c r="D20" s="28" t="s">
        <v>31</v>
      </c>
      <c r="E20" s="31">
        <f t="shared" si="1"/>
        <v>2734.4849989062063</v>
      </c>
      <c r="F20" s="31">
        <f t="shared" si="0"/>
        <v>1755.3064278693059</v>
      </c>
      <c r="G20" s="31">
        <f t="shared" si="0"/>
        <v>1428.5699994285719</v>
      </c>
      <c r="H20" s="31">
        <f t="shared" si="0"/>
        <v>1281.177856630386</v>
      </c>
      <c r="I20" s="31">
        <f t="shared" si="0"/>
        <v>522.57214264811398</v>
      </c>
      <c r="J20" s="27"/>
      <c r="K20" s="15"/>
      <c r="L20" s="15"/>
      <c r="M20" s="84">
        <f>2653/$N$3*$N$2</f>
        <v>2734.4849989062063</v>
      </c>
      <c r="N20" s="84">
        <f>1703/$N$3*$N$2</f>
        <v>1755.3064278693059</v>
      </c>
      <c r="O20" s="84">
        <f>1386/$N$3*$N$2</f>
        <v>1428.5699994285719</v>
      </c>
      <c r="P20" s="84">
        <f>1243/$N$3*$N$2</f>
        <v>1281.177856630386</v>
      </c>
      <c r="Q20" s="84">
        <f>507/$N$3*$N$2</f>
        <v>522.57214264811398</v>
      </c>
    </row>
    <row r="21" spans="2:17" x14ac:dyDescent="0.25">
      <c r="B21" s="19" t="s">
        <v>20</v>
      </c>
      <c r="C21" s="20"/>
      <c r="D21" s="28" t="s">
        <v>42</v>
      </c>
      <c r="E21" s="31">
        <f t="shared" si="1"/>
        <v>3080.8049987676777</v>
      </c>
      <c r="F21" s="31">
        <f t="shared" si="0"/>
        <v>1933.6199992265522</v>
      </c>
      <c r="G21" s="31">
        <f t="shared" si="0"/>
        <v>1551.2249993795099</v>
      </c>
      <c r="H21" s="31">
        <f t="shared" si="0"/>
        <v>1364.6657137398481</v>
      </c>
      <c r="I21" s="31">
        <f t="shared" si="0"/>
        <v>374.14928556462604</v>
      </c>
      <c r="J21" s="14"/>
      <c r="K21" s="15"/>
      <c r="L21" s="15"/>
      <c r="M21" s="84">
        <f>2989/$N$3*$N$2</f>
        <v>3080.8049987676777</v>
      </c>
      <c r="N21" s="84">
        <f>1876/$N$3*$N$2</f>
        <v>1933.6199992265522</v>
      </c>
      <c r="O21" s="84">
        <f>1505/$N$3*$N$2</f>
        <v>1551.2249993795099</v>
      </c>
      <c r="P21" s="84">
        <f>1324/$N$3*$N$2</f>
        <v>1364.6657137398481</v>
      </c>
      <c r="Q21" s="84">
        <f>363/$N$3*$N$2</f>
        <v>374.14928556462604</v>
      </c>
    </row>
    <row r="22" spans="2:17" x14ac:dyDescent="0.25">
      <c r="B22" s="19" t="s">
        <v>21</v>
      </c>
      <c r="C22" s="20"/>
      <c r="D22" s="28" t="s">
        <v>32</v>
      </c>
      <c r="E22" s="31">
        <f t="shared" si="1"/>
        <v>3465.261427185324</v>
      </c>
      <c r="F22" s="31">
        <f t="shared" si="0"/>
        <v>2229.4349991082263</v>
      </c>
      <c r="G22" s="31">
        <f t="shared" si="0"/>
        <v>1796.534999281386</v>
      </c>
      <c r="H22" s="31">
        <f t="shared" si="0"/>
        <v>1611.0064279270262</v>
      </c>
      <c r="I22" s="31">
        <f t="shared" si="0"/>
        <v>532.87928550113406</v>
      </c>
      <c r="J22" s="14"/>
      <c r="K22" s="15"/>
      <c r="L22" s="15"/>
      <c r="M22" s="84">
        <f>3362/$N$3*$N$2</f>
        <v>3465.261427185324</v>
      </c>
      <c r="N22" s="84">
        <f>2163/$N$3*$N$2</f>
        <v>2229.4349991082263</v>
      </c>
      <c r="O22" s="84">
        <f>1743/$N$3*$N$2</f>
        <v>1796.534999281386</v>
      </c>
      <c r="P22" s="84">
        <f>1563/$N$3*$N$2</f>
        <v>1611.0064279270262</v>
      </c>
      <c r="Q22" s="84">
        <f>517/$N$3*$N$2</f>
        <v>532.87928550113406</v>
      </c>
    </row>
    <row r="23" spans="2:17" x14ac:dyDescent="0.25">
      <c r="B23" s="19" t="s">
        <v>21</v>
      </c>
      <c r="C23" s="21"/>
      <c r="D23" s="28" t="s">
        <v>72</v>
      </c>
      <c r="E23" s="31">
        <f t="shared" si="1"/>
        <v>3315.8078558165344</v>
      </c>
      <c r="F23" s="31">
        <f t="shared" si="0"/>
        <v>1958.3571420738001</v>
      </c>
      <c r="G23" s="31">
        <f t="shared" si="0"/>
        <v>1507.934999396826</v>
      </c>
      <c r="H23" s="31" t="str">
        <f t="shared" si="0"/>
        <v>Max 6 pers.</v>
      </c>
      <c r="I23" s="31">
        <f t="shared" si="0"/>
        <v>235.00285704885601</v>
      </c>
      <c r="J23" s="14"/>
      <c r="K23" s="15"/>
      <c r="L23" s="15"/>
      <c r="M23" s="84">
        <f>3217/$N$3*$N$2</f>
        <v>3315.8078558165344</v>
      </c>
      <c r="N23" s="84">
        <f>1900/$N$3*$N$2</f>
        <v>1958.3571420738001</v>
      </c>
      <c r="O23" s="84">
        <f>1463/$N$3*$N$2</f>
        <v>1507.934999396826</v>
      </c>
      <c r="P23" s="85" t="s">
        <v>73</v>
      </c>
      <c r="Q23" s="84">
        <f>228/$N$3*$N$2</f>
        <v>235.00285704885601</v>
      </c>
    </row>
    <row r="24" spans="2:17" x14ac:dyDescent="0.25">
      <c r="B24" s="19" t="s">
        <v>22</v>
      </c>
      <c r="C24" s="21"/>
      <c r="D24" s="28" t="s">
        <v>44</v>
      </c>
      <c r="E24" s="31">
        <f t="shared" si="1"/>
        <v>3768.2914270641122</v>
      </c>
      <c r="F24" s="31">
        <f t="shared" si="0"/>
        <v>2341.7828562061441</v>
      </c>
      <c r="G24" s="31">
        <f t="shared" si="0"/>
        <v>1866.623570681922</v>
      </c>
      <c r="H24" s="31">
        <f t="shared" si="0"/>
        <v>1648.1121421978978</v>
      </c>
      <c r="I24" s="31">
        <f t="shared" si="0"/>
        <v>429.80785697093398</v>
      </c>
      <c r="J24" s="14"/>
      <c r="K24" s="15"/>
      <c r="L24" s="15"/>
      <c r="M24" s="84">
        <f>3656/$N$3*$N$2</f>
        <v>3768.2914270641122</v>
      </c>
      <c r="N24" s="84">
        <f>2272/$N$3*$N$2</f>
        <v>2341.7828562061441</v>
      </c>
      <c r="O24" s="84">
        <f>1811/$N$3*$N$2</f>
        <v>1866.623570681922</v>
      </c>
      <c r="P24" s="84">
        <f>1599/$N$3*$N$2</f>
        <v>1648.1121421978978</v>
      </c>
      <c r="Q24" s="84">
        <f>417/$N$3*$N$2</f>
        <v>429.80785697093398</v>
      </c>
    </row>
    <row r="25" spans="2:17" x14ac:dyDescent="0.25">
      <c r="B25" s="17" t="s">
        <v>45</v>
      </c>
      <c r="C25" s="21"/>
      <c r="D25" s="28" t="s">
        <v>46</v>
      </c>
      <c r="E25" s="31">
        <f t="shared" si="1"/>
        <v>4102.1913197876947</v>
      </c>
      <c r="F25" s="31">
        <f t="shared" si="0"/>
        <v>2438.3401704532353</v>
      </c>
      <c r="G25" s="31">
        <f t="shared" si="0"/>
        <v>2014.0157134801079</v>
      </c>
      <c r="H25" s="31">
        <f t="shared" si="0"/>
        <v>1620.8497493516602</v>
      </c>
      <c r="I25" s="31">
        <f t="shared" si="0"/>
        <v>342.19714272026403</v>
      </c>
      <c r="J25" s="14"/>
      <c r="K25" s="15"/>
      <c r="L25" s="15"/>
      <c r="M25" s="84">
        <f>3979.95/$N$3*$N$2</f>
        <v>4102.1913197876947</v>
      </c>
      <c r="N25" s="84">
        <f>2365.68/$N$3*$N$2</f>
        <v>2438.3401704532353</v>
      </c>
      <c r="O25" s="84">
        <f>1954/$N$3*$N$2</f>
        <v>2014.0157134801079</v>
      </c>
      <c r="P25" s="84">
        <f>1572.55/$N$3*$N$2</f>
        <v>1620.8497493516602</v>
      </c>
      <c r="Q25" s="84">
        <f>332/$N$3*$N$2</f>
        <v>342.19714272026403</v>
      </c>
    </row>
    <row r="26" spans="2:17" x14ac:dyDescent="0.25">
      <c r="B26" s="17" t="s">
        <v>184</v>
      </c>
      <c r="C26" s="21"/>
      <c r="D26" s="28" t="s">
        <v>185</v>
      </c>
      <c r="E26" s="31">
        <f t="shared" ref="E26" si="2">+M26</f>
        <v>5459.6935692446941</v>
      </c>
      <c r="F26" s="31">
        <f t="shared" ref="F26" si="3">+N26</f>
        <v>3462.1692843294181</v>
      </c>
      <c r="G26" s="31">
        <f t="shared" ref="G26" si="4">+O26</f>
        <v>2796.3278560243257</v>
      </c>
      <c r="H26" s="31">
        <f t="shared" ref="H26" si="5">+P26</f>
        <v>2643.7821417996302</v>
      </c>
      <c r="I26" s="31">
        <f t="shared" ref="I26" si="6">+Q26</f>
        <v>907.02857106576005</v>
      </c>
      <c r="J26" s="14"/>
      <c r="K26" s="15"/>
      <c r="L26" s="15"/>
      <c r="M26" s="84">
        <f>5297/$N$3*$N$2</f>
        <v>5459.6935692446941</v>
      </c>
      <c r="N26" s="84">
        <f>3359/$N$3*$N$2</f>
        <v>3462.1692843294181</v>
      </c>
      <c r="O26" s="84">
        <f>2713/$N$3*$N$2</f>
        <v>2796.3278560243257</v>
      </c>
      <c r="P26" s="84">
        <f>2565/$N$3*$N$2</f>
        <v>2643.7821417996302</v>
      </c>
      <c r="Q26" s="84">
        <f>880/$N$3*$N$2</f>
        <v>907.02857106576005</v>
      </c>
    </row>
    <row r="27" spans="2:17" ht="12" hidden="1" customHeight="1" x14ac:dyDescent="0.25">
      <c r="B27" s="46"/>
      <c r="C27" s="47"/>
      <c r="D27" s="47"/>
      <c r="E27" s="97" t="s">
        <v>51</v>
      </c>
      <c r="F27" s="97"/>
      <c r="G27" s="97"/>
      <c r="H27" s="97"/>
      <c r="I27" s="97"/>
      <c r="J27" s="14"/>
      <c r="K27" s="15"/>
      <c r="L27" s="15"/>
    </row>
    <row r="28" spans="2:17" hidden="1" x14ac:dyDescent="0.25">
      <c r="B28" s="19" t="s">
        <v>21</v>
      </c>
      <c r="C28" s="21"/>
      <c r="D28" s="28" t="s">
        <v>33</v>
      </c>
      <c r="E28" s="31">
        <v>3556.6122299999997</v>
      </c>
      <c r="F28" s="31">
        <v>2256.4847249999998</v>
      </c>
      <c r="G28" s="31">
        <v>1823.1088899999997</v>
      </c>
      <c r="H28" s="31">
        <v>1636.2409724999998</v>
      </c>
      <c r="I28" s="31">
        <v>298.25963999999999</v>
      </c>
      <c r="J28" s="14"/>
      <c r="K28" s="15"/>
      <c r="L28" s="15"/>
    </row>
    <row r="29" spans="2:17" hidden="1" x14ac:dyDescent="0.25">
      <c r="B29" s="17" t="s">
        <v>22</v>
      </c>
      <c r="C29" s="21"/>
      <c r="D29" s="28" t="s">
        <v>34</v>
      </c>
      <c r="E29" s="31">
        <v>3897.2269199999992</v>
      </c>
      <c r="F29" s="31">
        <v>2452.5789149999996</v>
      </c>
      <c r="G29" s="31">
        <v>1971.0295799999997</v>
      </c>
      <c r="H29" s="31">
        <v>1745.1649124999999</v>
      </c>
      <c r="I29" s="31">
        <v>307.81694999999996</v>
      </c>
      <c r="J29" s="14"/>
      <c r="K29" s="15"/>
      <c r="L29" s="15"/>
    </row>
    <row r="30" spans="2:17" hidden="1" x14ac:dyDescent="0.25">
      <c r="B30" s="19" t="s">
        <v>24</v>
      </c>
      <c r="C30" s="20"/>
      <c r="D30" s="28" t="s">
        <v>35</v>
      </c>
      <c r="E30" s="31">
        <v>4303.8811949999999</v>
      </c>
      <c r="F30" s="31">
        <v>2834.5613999999996</v>
      </c>
      <c r="G30" s="31">
        <v>2344.7881349999998</v>
      </c>
      <c r="H30" s="31">
        <v>2114.8115024999997</v>
      </c>
      <c r="I30" s="31">
        <v>586.969425</v>
      </c>
      <c r="J30" s="14"/>
      <c r="K30" s="15"/>
      <c r="L30" s="15"/>
    </row>
    <row r="31" spans="2:17" hidden="1" x14ac:dyDescent="0.25">
      <c r="B31" s="19" t="s">
        <v>23</v>
      </c>
      <c r="C31" s="20"/>
      <c r="D31" s="28" t="s">
        <v>43</v>
      </c>
      <c r="E31" s="31">
        <v>4372.2020099999991</v>
      </c>
      <c r="F31" s="31">
        <v>2863.1790149999997</v>
      </c>
      <c r="G31" s="31">
        <v>2360.1713499999996</v>
      </c>
      <c r="H31" s="31">
        <v>2138.4875175000002</v>
      </c>
      <c r="I31" s="31">
        <v>593.17944</v>
      </c>
      <c r="J31" s="14"/>
      <c r="K31" s="15"/>
      <c r="L31" s="15"/>
    </row>
    <row r="32" spans="2:17" hidden="1" x14ac:dyDescent="0.25">
      <c r="B32" s="19" t="s">
        <v>25</v>
      </c>
      <c r="C32" s="21"/>
      <c r="D32" s="28" t="s">
        <v>37</v>
      </c>
      <c r="E32" s="31">
        <v>4887.676919999999</v>
      </c>
      <c r="F32" s="31">
        <v>3121.5054149999996</v>
      </c>
      <c r="G32" s="31">
        <v>2532.7815800000003</v>
      </c>
      <c r="H32" s="31">
        <v>2268.2396624999997</v>
      </c>
      <c r="I32" s="31">
        <v>546.37694999999997</v>
      </c>
      <c r="J32" s="14"/>
      <c r="K32" s="15"/>
      <c r="L32" s="15"/>
    </row>
    <row r="33" spans="2:12" hidden="1" x14ac:dyDescent="0.25">
      <c r="B33" s="19" t="s">
        <v>25</v>
      </c>
      <c r="C33" s="20"/>
      <c r="D33" s="28" t="s">
        <v>36</v>
      </c>
      <c r="E33" s="31">
        <v>4722.7171529999996</v>
      </c>
      <c r="F33" s="31">
        <v>3052.9790549999998</v>
      </c>
      <c r="G33" s="31">
        <v>2496.3996890000003</v>
      </c>
      <c r="H33" s="31">
        <v>2247.930006</v>
      </c>
      <c r="I33" s="31">
        <v>616.99816499999997</v>
      </c>
      <c r="J33" s="14"/>
      <c r="K33" s="15"/>
      <c r="L33" s="15"/>
    </row>
    <row r="34" spans="2:12" hidden="1" x14ac:dyDescent="0.25">
      <c r="B34" s="22" t="s">
        <v>26</v>
      </c>
      <c r="C34" s="23"/>
      <c r="D34" s="24" t="s">
        <v>38</v>
      </c>
      <c r="E34" s="31">
        <v>5190.5096700000004</v>
      </c>
      <c r="F34" s="31">
        <v>3288.4803750000001</v>
      </c>
      <c r="G34" s="31">
        <v>2654.4706099999999</v>
      </c>
      <c r="H34" s="31">
        <v>2341.1932274999999</v>
      </c>
      <c r="I34" s="31">
        <v>392.87849999999997</v>
      </c>
      <c r="J34" s="14"/>
      <c r="K34" s="32"/>
      <c r="L34" s="15"/>
    </row>
    <row r="35" spans="2:12" hidden="1" x14ac:dyDescent="0.25">
      <c r="B35" s="25" t="s">
        <v>27</v>
      </c>
      <c r="C35" s="26"/>
      <c r="D35" s="24" t="s">
        <v>39</v>
      </c>
      <c r="E35" s="31">
        <v>6196.8579899999995</v>
      </c>
      <c r="F35" s="31">
        <v>3962.8213349999992</v>
      </c>
      <c r="G35" s="31">
        <v>3218.1424499999998</v>
      </c>
      <c r="H35" s="31">
        <v>2849.5305074999997</v>
      </c>
      <c r="I35" s="31">
        <v>628.45650000000001</v>
      </c>
      <c r="J35" s="14"/>
      <c r="K35" s="33"/>
      <c r="L35" s="15"/>
    </row>
    <row r="36" spans="2:12" hidden="1" x14ac:dyDescent="0.25">
      <c r="B36" s="25" t="s">
        <v>76</v>
      </c>
      <c r="C36" s="26"/>
      <c r="D36" s="48" t="s">
        <v>77</v>
      </c>
      <c r="E36" s="31">
        <v>6041.3828999999996</v>
      </c>
      <c r="F36" s="31">
        <v>3709.3470749999992</v>
      </c>
      <c r="G36" s="31">
        <v>2951.1860000000001</v>
      </c>
      <c r="H36" s="31" t="s">
        <v>73</v>
      </c>
      <c r="I36" s="31">
        <v>494.63924999999995</v>
      </c>
      <c r="J36" s="14"/>
      <c r="K36" s="33"/>
      <c r="L36" s="15"/>
    </row>
    <row r="37" spans="2:12" hidden="1" x14ac:dyDescent="0.25">
      <c r="B37" s="25"/>
      <c r="C37" s="26"/>
      <c r="D37" s="26"/>
      <c r="E37" s="89" t="s">
        <v>52</v>
      </c>
      <c r="F37" s="90"/>
      <c r="G37" s="90"/>
      <c r="H37" s="90"/>
      <c r="I37" s="91"/>
      <c r="J37" s="14"/>
      <c r="K37" s="34"/>
      <c r="L37" s="15"/>
    </row>
    <row r="38" spans="2:12" hidden="1" x14ac:dyDescent="0.25">
      <c r="B38" s="17" t="s">
        <v>22</v>
      </c>
      <c r="C38" s="21"/>
      <c r="D38" s="28" t="s">
        <v>47</v>
      </c>
      <c r="E38" s="31">
        <v>3572.5318499999998</v>
      </c>
      <c r="F38" s="31">
        <v>2170.3475250000001</v>
      </c>
      <c r="G38" s="31">
        <v>1702.9527499999997</v>
      </c>
      <c r="H38" s="31">
        <v>1507.2385874999998</v>
      </c>
      <c r="I38" s="31">
        <v>292.23599999999993</v>
      </c>
      <c r="J38" s="14"/>
      <c r="K38" s="35"/>
      <c r="L38" s="15"/>
    </row>
    <row r="39" spans="2:12" hidden="1" x14ac:dyDescent="0.25">
      <c r="B39" s="17" t="s">
        <v>22</v>
      </c>
      <c r="C39" s="21"/>
      <c r="D39" s="28" t="s">
        <v>48</v>
      </c>
      <c r="E39" s="31">
        <v>3888.3661200000001</v>
      </c>
      <c r="F39" s="31">
        <v>2459.0999099999999</v>
      </c>
      <c r="G39" s="31">
        <v>1982.6778400000001</v>
      </c>
      <c r="H39" s="31">
        <v>1759.3768049999999</v>
      </c>
      <c r="I39" s="31">
        <v>424.18950000000001</v>
      </c>
      <c r="J39" s="14"/>
      <c r="K39" s="35"/>
      <c r="L39" s="15"/>
    </row>
    <row r="40" spans="2:12" hidden="1" x14ac:dyDescent="0.25">
      <c r="B40" s="17" t="s">
        <v>45</v>
      </c>
      <c r="C40" s="21"/>
      <c r="D40" s="28" t="s">
        <v>74</v>
      </c>
      <c r="E40" s="31">
        <v>3831.0478199999998</v>
      </c>
      <c r="F40" s="31">
        <v>2337.6111000000001</v>
      </c>
      <c r="G40" s="31">
        <v>1839.7988600000001</v>
      </c>
      <c r="H40" s="31" t="s">
        <v>73</v>
      </c>
      <c r="I40" s="31">
        <v>255.55739999999997</v>
      </c>
      <c r="J40" s="14"/>
      <c r="K40" s="35"/>
      <c r="L40" s="15"/>
    </row>
    <row r="41" spans="2:12" hidden="1" x14ac:dyDescent="0.25">
      <c r="B41" s="25" t="s">
        <v>25</v>
      </c>
      <c r="C41" s="26"/>
      <c r="D41" s="24" t="s">
        <v>49</v>
      </c>
      <c r="E41" s="31">
        <v>4850.7597599999999</v>
      </c>
      <c r="F41" s="31">
        <v>3024.1729349999996</v>
      </c>
      <c r="G41" s="31">
        <v>2416.0561599999996</v>
      </c>
      <c r="H41" s="31">
        <v>2151.1365225</v>
      </c>
      <c r="I41" s="31">
        <v>396.91910999999999</v>
      </c>
      <c r="J41" s="14"/>
      <c r="K41" s="32"/>
      <c r="L41" s="15"/>
    </row>
    <row r="42" spans="2:12" hidden="1" x14ac:dyDescent="0.25">
      <c r="B42" s="25" t="s">
        <v>26</v>
      </c>
      <c r="C42" s="26"/>
      <c r="D42" s="48" t="s">
        <v>75</v>
      </c>
      <c r="E42" s="31">
        <v>4848.3251699999992</v>
      </c>
      <c r="F42" s="31">
        <v>2880.1327499999998</v>
      </c>
      <c r="G42" s="31">
        <v>2235.3008099999997</v>
      </c>
      <c r="H42" s="31" t="s">
        <v>73</v>
      </c>
      <c r="I42" s="31">
        <v>361.79114999999996</v>
      </c>
      <c r="J42" s="14"/>
      <c r="K42" s="32"/>
      <c r="L42" s="15"/>
    </row>
    <row r="43" spans="2:12" s="39" customFormat="1" ht="12" hidden="1" customHeight="1" x14ac:dyDescent="0.25">
      <c r="B43" s="46"/>
      <c r="C43" s="47"/>
      <c r="D43" s="47"/>
      <c r="E43" s="94" t="s">
        <v>53</v>
      </c>
      <c r="F43" s="95"/>
      <c r="G43" s="95"/>
      <c r="H43" s="95"/>
      <c r="I43" s="96"/>
      <c r="J43" s="36"/>
      <c r="K43" s="37"/>
      <c r="L43" s="38"/>
    </row>
    <row r="44" spans="2:12" hidden="1" x14ac:dyDescent="0.25">
      <c r="B44" s="88" t="s">
        <v>19</v>
      </c>
      <c r="C44" s="88"/>
      <c r="D44" s="24" t="s">
        <v>54</v>
      </c>
      <c r="E44" s="31">
        <v>1532.6824918499999</v>
      </c>
      <c r="F44" s="31">
        <v>1089.656086575</v>
      </c>
      <c r="G44" s="31">
        <v>941.98061815000005</v>
      </c>
      <c r="H44" s="31">
        <v>828.20538393749996</v>
      </c>
      <c r="I44" s="31">
        <v>255.19538519999995</v>
      </c>
      <c r="J44" s="14"/>
      <c r="K44" s="32"/>
      <c r="L44" s="15"/>
    </row>
    <row r="45" spans="2:12" hidden="1" x14ac:dyDescent="0.25">
      <c r="B45" s="88" t="s">
        <v>20</v>
      </c>
      <c r="C45" s="88"/>
      <c r="D45" s="24" t="s">
        <v>55</v>
      </c>
      <c r="E45" s="31">
        <v>2393.9074792499996</v>
      </c>
      <c r="F45" s="31">
        <v>1629.3687404999998</v>
      </c>
      <c r="G45" s="31">
        <v>1356.7724942499999</v>
      </c>
      <c r="H45" s="31">
        <v>1207.1618711249998</v>
      </c>
      <c r="I45" s="31">
        <v>318.21342675</v>
      </c>
      <c r="J45" s="14"/>
      <c r="K45" s="15"/>
      <c r="L45" s="15"/>
    </row>
    <row r="46" spans="2:12" hidden="1" x14ac:dyDescent="0.25">
      <c r="B46" s="88" t="s">
        <v>22</v>
      </c>
      <c r="C46" s="88"/>
      <c r="D46" s="24" t="s">
        <v>56</v>
      </c>
      <c r="E46" s="31">
        <v>2945.4794992499997</v>
      </c>
      <c r="F46" s="31">
        <v>1976.8468229999999</v>
      </c>
      <c r="G46" s="31">
        <v>1653.9692642499997</v>
      </c>
      <c r="H46" s="31">
        <v>1545.7804848749997</v>
      </c>
      <c r="I46" s="31">
        <v>369.32064674999998</v>
      </c>
      <c r="J46" s="14"/>
      <c r="K46" s="15"/>
      <c r="L46" s="15"/>
    </row>
    <row r="47" spans="2:12" hidden="1" x14ac:dyDescent="0.25">
      <c r="B47" s="88" t="s">
        <v>57</v>
      </c>
      <c r="C47" s="88"/>
      <c r="D47" s="24" t="s">
        <v>58</v>
      </c>
      <c r="E47" s="31">
        <v>4338.6703252500001</v>
      </c>
      <c r="F47" s="31">
        <v>2847.0648194999999</v>
      </c>
      <c r="G47" s="31">
        <v>2349.8629842499995</v>
      </c>
      <c r="H47" s="31">
        <v>2101.262066625</v>
      </c>
      <c r="I47" s="31">
        <v>497.08869674999994</v>
      </c>
      <c r="J47" s="14"/>
      <c r="K47" s="15"/>
      <c r="L47" s="15"/>
    </row>
    <row r="48" spans="2:12" hidden="1" x14ac:dyDescent="0.25">
      <c r="J48" s="14"/>
    </row>
    <row r="49" spans="2:10" hidden="1" x14ac:dyDescent="0.25">
      <c r="J49" s="14"/>
    </row>
    <row r="50" spans="2:10" hidden="1" x14ac:dyDescent="0.25">
      <c r="B50" s="29"/>
      <c r="C50" s="29"/>
      <c r="D50" s="29"/>
      <c r="E50" s="30"/>
      <c r="F50" s="30"/>
      <c r="G50" s="30"/>
      <c r="H50" s="30"/>
      <c r="I50" s="30"/>
      <c r="J50" s="14"/>
    </row>
    <row r="51" spans="2:10" hidden="1" x14ac:dyDescent="0.25">
      <c r="B51" s="29"/>
      <c r="C51" s="29"/>
      <c r="D51" s="29"/>
      <c r="E51" s="30"/>
      <c r="F51" s="30"/>
      <c r="G51" s="30"/>
      <c r="H51" s="30"/>
      <c r="I51" s="30"/>
      <c r="J51" s="14"/>
    </row>
    <row r="52" spans="2:10" hidden="1" x14ac:dyDescent="0.25">
      <c r="B52" s="29"/>
      <c r="C52" s="29"/>
      <c r="D52" s="29"/>
      <c r="E52" s="30"/>
      <c r="F52" s="30"/>
      <c r="G52" s="30"/>
      <c r="H52" s="30"/>
      <c r="I52" s="30"/>
      <c r="J52" s="14"/>
    </row>
    <row r="53" spans="2:10" hidden="1" x14ac:dyDescent="0.25"/>
    <row r="54" spans="2:10" hidden="1" x14ac:dyDescent="0.25"/>
    <row r="55" spans="2:10" hidden="1" x14ac:dyDescent="0.25">
      <c r="B55" s="92" t="s">
        <v>8</v>
      </c>
      <c r="C55" s="92"/>
      <c r="D55" s="92"/>
      <c r="E55" s="92"/>
      <c r="F55" s="92"/>
      <c r="G55" s="92"/>
      <c r="H55" s="92"/>
      <c r="I55" s="92"/>
    </row>
    <row r="56" spans="2:10" hidden="1" x14ac:dyDescent="0.25">
      <c r="G56" s="4"/>
      <c r="H56" s="5"/>
      <c r="I56" s="5"/>
    </row>
    <row r="57" spans="2:10" hidden="1" x14ac:dyDescent="0.25">
      <c r="G57" s="93" t="s">
        <v>9</v>
      </c>
      <c r="H57" s="93"/>
      <c r="I57" s="93"/>
    </row>
    <row r="58" spans="2:10" hidden="1" x14ac:dyDescent="0.25">
      <c r="G58" s="3" t="s">
        <v>16</v>
      </c>
      <c r="H58" s="3"/>
      <c r="I58" s="3" t="s">
        <v>17</v>
      </c>
    </row>
    <row r="59" spans="2:10" hidden="1" x14ac:dyDescent="0.25">
      <c r="B59" s="9" t="s">
        <v>15</v>
      </c>
      <c r="C59" s="5"/>
      <c r="D59" s="6"/>
      <c r="E59" s="6"/>
      <c r="F59" s="6"/>
      <c r="G59" s="13">
        <v>125.50359374999999</v>
      </c>
      <c r="H59" s="13"/>
      <c r="I59" s="7">
        <v>0</v>
      </c>
    </row>
    <row r="60" spans="2:10" hidden="1" x14ac:dyDescent="0.25">
      <c r="B60" s="10" t="s">
        <v>14</v>
      </c>
      <c r="C60" s="11"/>
      <c r="D60" s="12"/>
      <c r="E60" s="12"/>
      <c r="F60" s="12"/>
      <c r="G60" s="13">
        <v>182.96502974999996</v>
      </c>
      <c r="H60" s="13"/>
      <c r="I60" s="7">
        <v>10.267931250000014</v>
      </c>
    </row>
    <row r="61" spans="2:10" hidden="1" x14ac:dyDescent="0.25">
      <c r="B61" s="4" t="s">
        <v>5</v>
      </c>
      <c r="C61" s="5"/>
      <c r="D61" s="6"/>
      <c r="E61" s="6"/>
      <c r="F61" s="6"/>
      <c r="G61" s="7">
        <v>379.59116062499993</v>
      </c>
      <c r="H61" s="7"/>
      <c r="I61" s="7">
        <v>47.917012500000006</v>
      </c>
    </row>
    <row r="62" spans="2:10" hidden="1" x14ac:dyDescent="0.25">
      <c r="B62" s="4" t="s">
        <v>3</v>
      </c>
      <c r="C62" s="5"/>
      <c r="D62" s="6"/>
      <c r="E62" s="6"/>
      <c r="F62" s="6"/>
      <c r="G62" s="7">
        <v>438.15259518749997</v>
      </c>
      <c r="H62" s="7"/>
      <c r="I62" s="7">
        <v>27.381149999999977</v>
      </c>
    </row>
    <row r="63" spans="2:10" hidden="1" x14ac:dyDescent="0.25">
      <c r="B63" s="4" t="s">
        <v>1</v>
      </c>
      <c r="C63" s="5"/>
      <c r="D63" s="6"/>
      <c r="E63" s="6"/>
      <c r="F63" s="6"/>
      <c r="G63" s="7">
        <v>538.95706171874986</v>
      </c>
      <c r="H63" s="7"/>
      <c r="I63" s="7">
        <v>65.714759999999998</v>
      </c>
    </row>
    <row r="64" spans="2:10" hidden="1" x14ac:dyDescent="0.25">
      <c r="B64" s="4" t="s">
        <v>6</v>
      </c>
      <c r="C64" s="5"/>
      <c r="D64" s="6"/>
      <c r="E64" s="6"/>
      <c r="F64" s="6"/>
      <c r="G64" s="7">
        <v>622.93162612499998</v>
      </c>
      <c r="H64" s="7"/>
      <c r="I64" s="7">
        <v>60.238530000000011</v>
      </c>
    </row>
    <row r="65" spans="2:9" hidden="1" x14ac:dyDescent="0.25">
      <c r="B65" s="4" t="s">
        <v>10</v>
      </c>
      <c r="C65" s="5"/>
      <c r="D65" s="6"/>
      <c r="E65" s="6"/>
      <c r="F65" s="6"/>
      <c r="G65" s="7">
        <v>624.2461706250001</v>
      </c>
      <c r="H65" s="7"/>
      <c r="I65" s="7">
        <v>54.762299999999954</v>
      </c>
    </row>
    <row r="66" spans="2:9" hidden="1" x14ac:dyDescent="0.25">
      <c r="B66" s="4" t="s">
        <v>7</v>
      </c>
      <c r="C66" s="5"/>
      <c r="D66" s="6"/>
      <c r="E66" s="6"/>
      <c r="F66" s="6"/>
      <c r="G66" s="7">
        <v>814.09483617187482</v>
      </c>
      <c r="H66" s="7"/>
      <c r="I66" s="7">
        <v>41.071725000000058</v>
      </c>
    </row>
    <row r="67" spans="2:9" hidden="1" x14ac:dyDescent="0.25">
      <c r="B67" s="4" t="s">
        <v>2</v>
      </c>
      <c r="C67" s="5"/>
      <c r="D67" s="6"/>
      <c r="E67" s="6"/>
      <c r="F67" s="6"/>
      <c r="G67" s="7">
        <v>665.12331843749996</v>
      </c>
      <c r="H67" s="7"/>
      <c r="I67" s="7">
        <v>100.62572624999997</v>
      </c>
    </row>
    <row r="68" spans="2:9" hidden="1" x14ac:dyDescent="0.25">
      <c r="B68" s="4" t="s">
        <v>12</v>
      </c>
      <c r="C68" s="5"/>
      <c r="D68" s="6"/>
      <c r="E68" s="6"/>
      <c r="F68" s="6"/>
      <c r="G68" s="7">
        <v>1008.457269609375</v>
      </c>
      <c r="H68" s="7"/>
      <c r="I68" s="7">
        <v>73.929105000000021</v>
      </c>
    </row>
    <row r="69" spans="2:9" hidden="1" x14ac:dyDescent="0.25">
      <c r="B69" s="8" t="s">
        <v>11</v>
      </c>
      <c r="C69" s="8"/>
      <c r="D69" s="8"/>
      <c r="E69" s="8"/>
      <c r="F69" s="8"/>
      <c r="G69" s="7">
        <v>853.40295112499984</v>
      </c>
      <c r="H69" s="7"/>
      <c r="I69" s="7">
        <v>87.619680000000045</v>
      </c>
    </row>
    <row r="70" spans="2:9" hidden="1" x14ac:dyDescent="0.25">
      <c r="B70" s="4" t="s">
        <v>4</v>
      </c>
      <c r="C70" s="5"/>
      <c r="D70" s="6"/>
      <c r="E70" s="6"/>
      <c r="F70" s="6"/>
      <c r="G70" s="7">
        <v>1510.7026730624998</v>
      </c>
      <c r="H70" s="7"/>
      <c r="I70" s="7">
        <v>135.53669249999999</v>
      </c>
    </row>
    <row r="71" spans="2:9" hidden="1" x14ac:dyDescent="0.25"/>
    <row r="72" spans="2:9" hidden="1" x14ac:dyDescent="0.25"/>
    <row r="73" spans="2:9" hidden="1" x14ac:dyDescent="0.25"/>
    <row r="74" spans="2:9" hidden="1" x14ac:dyDescent="0.25"/>
    <row r="75" spans="2:9" hidden="1" x14ac:dyDescent="0.25"/>
    <row r="76" spans="2:9" hidden="1" x14ac:dyDescent="0.25"/>
    <row r="77" spans="2:9" hidden="1" x14ac:dyDescent="0.25"/>
    <row r="78" spans="2:9" hidden="1" x14ac:dyDescent="0.25"/>
    <row r="79" spans="2:9" hidden="1" x14ac:dyDescent="0.25"/>
    <row r="80" spans="2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</sheetData>
  <sheetProtection password="C67A" sheet="1" objects="1" scenarios="1" selectLockedCells="1" selectUnlockedCells="1"/>
  <mergeCells count="12">
    <mergeCell ref="G57:I57"/>
    <mergeCell ref="B44:C44"/>
    <mergeCell ref="B45:C45"/>
    <mergeCell ref="E15:I15"/>
    <mergeCell ref="E27:I27"/>
    <mergeCell ref="E37:I37"/>
    <mergeCell ref="E43:I43"/>
    <mergeCell ref="E12:I12"/>
    <mergeCell ref="B46:C46"/>
    <mergeCell ref="B47:C47"/>
    <mergeCell ref="B55:I55"/>
    <mergeCell ref="B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2020-06-27T05:52:48Z</dcterms:modified>
</cp:coreProperties>
</file>